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EC88040B-B820-4DA3-B6E3-C47071AD0284}"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22"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23" l="1"/>
  <c r="F42" i="23"/>
  <c r="E40" i="23" l="1"/>
  <c r="D40" i="23"/>
  <c r="D18" i="23" l="1" a="1"/>
  <c r="O22" i="23"/>
  <c r="B17" i="24"/>
  <c r="K32" i="15" l="1"/>
  <c r="E39" i="4" l="1"/>
  <c r="E38" i="4" a="1"/>
  <c r="E38" i="4" s="1"/>
  <c r="E37" i="4"/>
  <c r="E36" i="4"/>
  <c r="E35" i="4"/>
  <c r="E34" i="4"/>
  <c r="E33" i="4"/>
  <c r="E32" i="4"/>
  <c r="E31" i="4"/>
  <c r="E30" i="4"/>
  <c r="E29" i="4"/>
  <c r="E28" i="4"/>
  <c r="E25" i="4"/>
  <c r="E22" i="4"/>
  <c r="E21" i="4"/>
  <c r="E20" i="4"/>
  <c r="E19" i="4"/>
  <c r="E18" i="4"/>
  <c r="E17" i="4"/>
  <c r="E16" i="4"/>
  <c r="E15" i="4"/>
  <c r="E14" i="4"/>
  <c r="E13" i="4"/>
  <c r="E12" i="4"/>
  <c r="E11" i="4"/>
  <c r="E10" i="4"/>
  <c r="E9" i="4"/>
  <c r="E8" i="4"/>
  <c r="E7" i="4"/>
  <c r="E6" i="4"/>
  <c r="T30" i="6"/>
  <c r="D6" i="6"/>
  <c r="F48" i="14"/>
  <c r="F26" i="14"/>
  <c r="F15" i="12"/>
  <c r="K47" i="7"/>
  <c r="K46" i="7"/>
  <c r="K45" i="7"/>
  <c r="K44" i="7"/>
  <c r="K43" i="7"/>
  <c r="K41" i="7"/>
  <c r="K40" i="7"/>
  <c r="K39" i="7"/>
  <c r="K38" i="7"/>
  <c r="K36" i="7"/>
  <c r="K35" i="7"/>
  <c r="K34" i="7"/>
  <c r="K33" i="7"/>
  <c r="K32" i="7"/>
  <c r="K31" i="7"/>
  <c r="K30" i="7"/>
  <c r="K29" i="7"/>
  <c r="K28" i="7"/>
  <c r="K27" i="7"/>
  <c r="K25" i="7"/>
  <c r="K22" i="7"/>
  <c r="K21" i="7"/>
  <c r="K20" i="7"/>
  <c r="K19" i="7"/>
  <c r="K18" i="7"/>
  <c r="K17" i="7"/>
  <c r="K16" i="7"/>
  <c r="K15" i="7"/>
  <c r="K14" i="7"/>
  <c r="K13" i="7"/>
  <c r="K12" i="7"/>
  <c r="K11" i="7"/>
  <c r="K10" i="7"/>
  <c r="K9" i="7"/>
  <c r="K7" i="7"/>
  <c r="J39" i="4"/>
  <c r="J38" i="4"/>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F28" i="12"/>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C7" i="20"/>
  <c r="B3" i="20"/>
  <c r="B2" i="20"/>
  <c r="B1" i="20"/>
  <c r="D39" i="25"/>
  <c r="C39" i="25"/>
  <c r="L1" i="25"/>
  <c r="H1" i="25"/>
  <c r="C1" i="25"/>
  <c r="J18"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K10" i="23" a="1"/>
  <c r="K10" i="23" s="1"/>
  <c r="K18" i="23" s="1" a="1"/>
  <c r="J18" i="23" a="1"/>
  <c r="G10" i="23" a="1"/>
  <c r="G10" i="23"/>
  <c r="G18" i="23" s="1" a="1"/>
  <c r="F10" i="23" a="1"/>
  <c r="F10" i="23" s="1"/>
  <c r="F18" i="23" s="1" a="1"/>
  <c r="E10" i="23" a="1"/>
  <c r="E10" i="23" s="1"/>
  <c r="E18" i="23" s="1" a="1"/>
  <c r="D10" i="23" a="1"/>
  <c r="D10" i="23"/>
  <c r="L1" i="23"/>
  <c r="H1" i="23"/>
  <c r="B1" i="23"/>
  <c r="K60" i="15"/>
  <c r="K59" i="15"/>
  <c r="K39" i="15"/>
  <c r="D35" i="15" a="1"/>
  <c r="D35" i="15" s="1"/>
  <c r="D34" i="15" a="1"/>
  <c r="D34" i="15"/>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I11" i="12"/>
  <c r="H19" i="24" s="1"/>
  <c r="G11" i="12"/>
  <c r="F11" i="12"/>
  <c r="I10" i="12"/>
  <c r="I9" i="12"/>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10" i="8"/>
  <c r="H9" i="8"/>
  <c r="H8" i="8"/>
  <c r="H7" i="8"/>
  <c r="H6" i="8"/>
  <c r="H5" i="8"/>
  <c r="M1" i="8"/>
  <c r="H1" i="8"/>
  <c r="C1" i="8"/>
  <c r="T20" i="2"/>
  <c r="D18" i="23" l="1"/>
  <c r="D19" i="23" s="1"/>
  <c r="M18" i="23"/>
  <c r="M19" i="23" s="1"/>
  <c r="N13" i="4"/>
  <c r="G43" i="23"/>
  <c r="H45" i="23" s="1"/>
  <c r="I42" i="4"/>
  <c r="M42" i="4"/>
  <c r="AC11" i="4"/>
  <c r="L42" i="4"/>
  <c r="F22" i="24"/>
  <c r="R11" i="5"/>
  <c r="AA12" i="5"/>
  <c r="AA10" i="6"/>
  <c r="F18" i="12"/>
  <c r="AA13" i="15"/>
  <c r="AA14" i="15" s="1"/>
  <c r="E1035" i="18"/>
  <c r="H26" i="15" s="1"/>
  <c r="E85" i="18"/>
  <c r="D22" i="15" s="1"/>
  <c r="E120" i="18"/>
  <c r="E13" i="15" s="1"/>
  <c r="E162" i="18"/>
  <c r="E18" i="15" s="1"/>
  <c r="J11" i="7"/>
  <c r="L11" i="7" s="1"/>
  <c r="J44" i="14"/>
  <c r="J48" i="14" s="1"/>
  <c r="F46" i="7" s="1"/>
  <c r="J13" i="7"/>
  <c r="L13" i="7" s="1"/>
  <c r="E169" i="18"/>
  <c r="E19" i="15" s="1"/>
  <c r="E692" i="18"/>
  <c r="G19" i="15" s="1"/>
  <c r="E1082" i="18"/>
  <c r="E1123" i="18"/>
  <c r="I13" i="15" s="1"/>
  <c r="G32" i="14"/>
  <c r="G48" i="14" s="1"/>
  <c r="D21" i="24" s="1"/>
  <c r="E671" i="18"/>
  <c r="J15" i="7"/>
  <c r="L15" i="7" s="1"/>
  <c r="J38" i="7"/>
  <c r="H13" i="24" s="1"/>
  <c r="E127" i="18"/>
  <c r="E14" i="15" s="1"/>
  <c r="E1165" i="18"/>
  <c r="I18" i="15" s="1"/>
  <c r="E1454" i="18"/>
  <c r="N39" i="14"/>
  <c r="N11" i="23"/>
  <c r="E71" i="18"/>
  <c r="D21" i="15" s="1"/>
  <c r="E951" i="18"/>
  <c r="H11" i="15" s="1"/>
  <c r="E1130" i="18"/>
  <c r="I14" i="15" s="1"/>
  <c r="J17" i="7"/>
  <c r="L17" i="7" s="1"/>
  <c r="J40" i="7"/>
  <c r="H15" i="24" s="1"/>
  <c r="E134" i="18"/>
  <c r="E15" i="15" s="1"/>
  <c r="E1479" i="18"/>
  <c r="E685" i="18"/>
  <c r="G18" i="15" s="1"/>
  <c r="E1028" i="18"/>
  <c r="H22" i="15" s="1"/>
  <c r="N16" i="14"/>
  <c r="E176" i="18"/>
  <c r="E21" i="15" s="1"/>
  <c r="E636" i="18"/>
  <c r="G11" i="15" s="1"/>
  <c r="E657" i="18"/>
  <c r="G15" i="15" s="1"/>
  <c r="E986" i="18"/>
  <c r="E1007" i="18"/>
  <c r="H19" i="15" s="1"/>
  <c r="E1144" i="18"/>
  <c r="I16" i="15" s="1"/>
  <c r="E1247" i="18"/>
  <c r="J10" i="7"/>
  <c r="L10" i="7" s="1"/>
  <c r="J30" i="7"/>
  <c r="L30" i="7" s="1"/>
  <c r="E535" i="18"/>
  <c r="F22" i="15" s="1"/>
  <c r="E678" i="18"/>
  <c r="E15" i="18"/>
  <c r="D13" i="15" s="1"/>
  <c r="E1489" i="18"/>
  <c r="E36" i="18"/>
  <c r="D16" i="15" s="1"/>
  <c r="E664" i="18"/>
  <c r="G16" i="15" s="1"/>
  <c r="E1236" i="18"/>
  <c r="E1258" i="18"/>
  <c r="E1280" i="18"/>
  <c r="N17" i="14"/>
  <c r="E43" i="18"/>
  <c r="E190" i="18"/>
  <c r="E22" i="15" s="1"/>
  <c r="E1061" i="18"/>
  <c r="J19" i="7"/>
  <c r="L19" i="7" s="1"/>
  <c r="E1116" i="18"/>
  <c r="I11" i="15" s="1"/>
  <c r="J21" i="7"/>
  <c r="G40" i="4"/>
  <c r="D23" i="24" s="1"/>
  <c r="E197" i="18"/>
  <c r="E26" i="15" s="1"/>
  <c r="E650" i="18"/>
  <c r="G14" i="15" s="1"/>
  <c r="E1137" i="18"/>
  <c r="I15" i="15" s="1"/>
  <c r="E1459" i="18"/>
  <c r="E1469" i="18"/>
  <c r="E1494" i="18"/>
  <c r="N12" i="23"/>
  <c r="I13" i="22"/>
  <c r="G43" i="7" s="1"/>
  <c r="N42" i="14"/>
  <c r="K40" i="4"/>
  <c r="H23" i="24" s="1"/>
  <c r="E29" i="18"/>
  <c r="D15" i="15" s="1"/>
  <c r="E106" i="18"/>
  <c r="D24" i="15" s="1"/>
  <c r="E373" i="18"/>
  <c r="J9" i="7"/>
  <c r="L8" i="7" s="1"/>
  <c r="J18" i="7"/>
  <c r="L18" i="7" s="1"/>
  <c r="J41" i="7"/>
  <c r="H16" i="24" s="1"/>
  <c r="E1225" i="18"/>
  <c r="E1269" i="18"/>
  <c r="E1368" i="18"/>
  <c r="F23" i="4" a="1"/>
  <c r="F23" i="4" s="1"/>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D22" i="24" s="1"/>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H42" i="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N40" i="14"/>
  <c r="N43" i="14"/>
  <c r="N29" i="4"/>
  <c r="N33" i="4"/>
  <c r="N13" i="23"/>
  <c r="E734" i="18"/>
  <c r="G24" i="15" s="1"/>
  <c r="J36" i="7"/>
  <c r="L36" i="7" s="1"/>
  <c r="N20" i="14"/>
  <c r="N38" i="14"/>
  <c r="N16" i="23"/>
  <c r="E265" i="18"/>
  <c r="F13" i="15" s="1"/>
  <c r="J27" i="7"/>
  <c r="L26" i="7" s="1"/>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L21" i="7" s="1"/>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H30" i="8"/>
  <c r="J25" i="7"/>
  <c r="K8" i="22"/>
  <c r="N17" i="4"/>
  <c r="J7" i="7"/>
  <c r="L6" i="7" s="1"/>
  <c r="H38" i="8"/>
  <c r="E18" i="23"/>
  <c r="E19" i="23" s="1"/>
  <c r="N13" i="14"/>
  <c r="N35" i="14"/>
  <c r="F18" i="23"/>
  <c r="F19" i="23" s="1"/>
  <c r="N21" i="4"/>
  <c r="G18" i="23"/>
  <c r="G19" i="23" s="1"/>
  <c r="N6" i="4"/>
  <c r="N18" i="4"/>
  <c r="N30" i="4"/>
  <c r="N34" i="4"/>
  <c r="N38" i="4"/>
  <c r="N15" i="4"/>
  <c r="H19" i="23"/>
  <c r="H18" i="8"/>
  <c r="N9" i="4"/>
  <c r="N12" i="4"/>
  <c r="K18" i="23"/>
  <c r="K19" i="23" s="1"/>
  <c r="N22" i="4"/>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K19" i="24"/>
  <c r="E23" i="4"/>
  <c r="N37" i="4"/>
  <c r="F17" i="12"/>
  <c r="F19" i="12" s="1"/>
  <c r="N19" i="23" l="1"/>
  <c r="G42" i="4"/>
  <c r="D18" i="24"/>
  <c r="F28" i="22"/>
  <c r="G17" i="15"/>
  <c r="G23" i="15" s="1"/>
  <c r="J15" i="15"/>
  <c r="L40" i="7"/>
  <c r="F17" i="15"/>
  <c r="J24" i="15"/>
  <c r="H42" i="7"/>
  <c r="E48" i="15"/>
  <c r="D17" i="15"/>
  <c r="D23" i="15" s="1"/>
  <c r="E42" i="7"/>
  <c r="L38" i="7"/>
  <c r="K13" i="22"/>
  <c r="F29" i="22" s="1"/>
  <c r="H17" i="15"/>
  <c r="H23" i="15" s="1"/>
  <c r="E1534" i="18"/>
  <c r="E50" i="15"/>
  <c r="E93" i="18"/>
  <c r="D25" i="15" s="1"/>
  <c r="J46" i="7"/>
  <c r="L46" i="7" s="1"/>
  <c r="J18" i="15"/>
  <c r="J45" i="7"/>
  <c r="L45" i="7" s="1"/>
  <c r="I17" i="15"/>
  <c r="J37" i="7"/>
  <c r="H12" i="24" s="1"/>
  <c r="E198" i="18"/>
  <c r="E25" i="15" s="1"/>
  <c r="J21" i="15"/>
  <c r="F42" i="7"/>
  <c r="L41" i="7"/>
  <c r="J13" i="15"/>
  <c r="E22" i="24"/>
  <c r="J22" i="15"/>
  <c r="G42" i="7"/>
  <c r="D43" i="7"/>
  <c r="J43" i="7" s="1"/>
  <c r="Q34" i="2" s="1"/>
  <c r="E563" i="18"/>
  <c r="J19" i="15"/>
  <c r="J42" i="4"/>
  <c r="N40" i="4"/>
  <c r="I42" i="7"/>
  <c r="I48" i="7" s="1"/>
  <c r="K23" i="24"/>
  <c r="N23" i="4"/>
  <c r="C22" i="24"/>
  <c r="F42" i="4"/>
  <c r="E1369" i="18"/>
  <c r="E629" i="18"/>
  <c r="F24" i="15" s="1"/>
  <c r="L24" i="7"/>
  <c r="H22" i="24"/>
  <c r="E1201" i="18"/>
  <c r="I25" i="15" s="1"/>
  <c r="K42" i="4"/>
  <c r="J47" i="7" s="1"/>
  <c r="L47" i="7" s="1"/>
  <c r="E17" i="15"/>
  <c r="E23" i="15" s="1"/>
  <c r="J26" i="15"/>
  <c r="L39" i="7"/>
  <c r="F11" i="15"/>
  <c r="J16" i="15"/>
  <c r="J23" i="7"/>
  <c r="H11" i="24" s="1"/>
  <c r="E1036" i="18"/>
  <c r="H25" i="15" s="1"/>
  <c r="J11" i="15"/>
  <c r="H40" i="8"/>
  <c r="N44" i="14"/>
  <c r="N48" i="14" s="1"/>
  <c r="E721" i="18"/>
  <c r="G25" i="15" s="1"/>
  <c r="J14" i="15"/>
  <c r="D42" i="7"/>
  <c r="N22" i="14"/>
  <c r="N26" i="14" s="1"/>
  <c r="H20" i="24" s="1"/>
  <c r="K20" i="24" s="1"/>
  <c r="E1505" i="18"/>
  <c r="N18" i="23"/>
  <c r="G12" i="24"/>
  <c r="K42" i="7"/>
  <c r="K48" i="7" s="1"/>
  <c r="E42" i="4"/>
  <c r="B22" i="24"/>
  <c r="D17" i="24" l="1"/>
  <c r="K17" i="24" s="1"/>
  <c r="F45" i="23"/>
  <c r="F46" i="23" s="1"/>
  <c r="F30" i="22"/>
  <c r="F23" i="15"/>
  <c r="J42" i="7"/>
  <c r="L42" i="7" s="1"/>
  <c r="N30" i="23"/>
  <c r="H18" i="24"/>
  <c r="K18" i="24" s="1"/>
  <c r="J17" i="15"/>
  <c r="J23" i="15" s="1"/>
  <c r="M30" i="23"/>
  <c r="I23" i="15"/>
  <c r="P30" i="23"/>
  <c r="L37" i="7"/>
  <c r="L43" i="7"/>
  <c r="L23" i="7"/>
  <c r="J25" i="15"/>
  <c r="H21" i="24"/>
  <c r="K21" i="24" s="1"/>
  <c r="O48" i="14"/>
  <c r="O26" i="14"/>
  <c r="N42" i="4"/>
  <c r="F25" i="15"/>
  <c r="O30" i="23"/>
  <c r="L30" i="23"/>
  <c r="K22" i="24"/>
  <c r="C9" i="25"/>
  <c r="Q33" i="2" l="1"/>
  <c r="J48" i="7"/>
  <c r="A13" i="17" s="1"/>
  <c r="B13" i="17" s="1"/>
  <c r="C11" i="25"/>
  <c r="C14" i="25" l="1"/>
  <c r="C21" i="25" s="1"/>
  <c r="A5" i="17"/>
  <c r="B5" i="17" s="1"/>
  <c r="A9" i="17"/>
  <c r="B9" i="17" s="1"/>
  <c r="A12" i="17"/>
  <c r="B12" i="17" s="1"/>
  <c r="K11" i="12"/>
  <c r="A6" i="17"/>
  <c r="B6" i="17" s="1"/>
  <c r="A8" i="17"/>
  <c r="B8" i="17" s="1"/>
  <c r="A7" i="17"/>
  <c r="B7" i="17" s="1"/>
  <c r="A15" i="17"/>
  <c r="B15" i="17" s="1"/>
  <c r="A14" i="17"/>
  <c r="B14" i="17" s="1"/>
  <c r="N10" i="7"/>
  <c r="B12" i="2" s="1"/>
  <c r="A3" i="17"/>
  <c r="A16" i="17"/>
  <c r="B16" i="17" s="1"/>
  <c r="K10" i="12"/>
  <c r="B18" i="2" s="1"/>
  <c r="H33" i="6"/>
  <c r="B16" i="2" s="1"/>
  <c r="A4" i="17"/>
  <c r="B4" i="17" s="1"/>
  <c r="L48" i="7"/>
  <c r="M12" i="22"/>
  <c r="B14" i="2" s="1"/>
  <c r="N9" i="7"/>
  <c r="B10" i="2" s="1"/>
  <c r="A10" i="17"/>
  <c r="B10" i="17" s="1"/>
  <c r="L2" i="2" l="1"/>
  <c r="B3" i="17"/>
  <c r="A1" i="17"/>
  <c r="L4" i="2"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<sst xmlns="http://schemas.openxmlformats.org/spreadsheetml/2006/main" count="8376" uniqueCount="1339">
  <si>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</si>
  <si>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</si>
  <si>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</si>
  <si>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</si>
  <si>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</si>
  <si>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</si>
  <si>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</si>
  <si>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</si>
  <si>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</si>
  <si>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</si>
  <si>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</si>
  <si>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</si>
  <si>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</si>
  <si>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</si>
  <si>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</si>
  <si>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</si>
  <si>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</si>
  <si>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</si>
  <si>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</si>
  <si>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</si>
  <si>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</si>
  <si>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</si>
  <si>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</si>
  <si>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</si>
  <si>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</si>
  <si>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</si>
  <si>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</si>
  <si>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</si>
  <si>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</si>
  <si>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</si>
  <si>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</si>
  <si>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</si>
  <si>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</si>
  <si>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</si>
  <si>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</si>
  <si>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</si>
  <si>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</si>
  <si>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</si>
  <si>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</si>
  <si>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</si>
  <si>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</si>
  <si>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</si>
  <si>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</si>
  <si>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</si>
  <si>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</si>
  <si>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</si>
  <si>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</si>
  <si>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</si>
  <si>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</si>
  <si>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</si>
  <si>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</si>
  <si>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</si>
  <si>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</si>
  <si>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</si>
  <si>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</si>
  <si>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</si>
  <si>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</si>
  <si>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</si>
  <si>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</si>
  <si>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</si>
  <si>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</si>
  <si>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</si>
  <si>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</si>
  <si>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</si>
  <si>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</si>
  <si>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</si>
  <si>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</si>
  <si>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</si>
  <si>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</si>
  <si>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</si>
  <si>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</si>
  <si>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</si>
  <si>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</si>
  <si>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</si>
  <si>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</si>
  <si>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</si>
  <si>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</si>
  <si>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</si>
  <si>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</si>
  <si>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</si>
  <si>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</si>
  <si>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</si>
  <si>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</si>
  <si>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</si>
  <si>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</si>
  <si>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</si>
  <si>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</si>
  <si>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</si>
  <si>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</si>
  <si>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</si>
  <si>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</si>
  <si>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</si>
  <si>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</si>
  <si>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</si>
  <si>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</si>
  <si>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</si>
  <si>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</si>
  <si>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</si>
  <si>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</si>
  <si>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</si>
  <si>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</si>
  <si>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</si>
  <si>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</si>
  <si>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</si>
  <si>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</si>
  <si>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</si>
  <si>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</si>
  <si>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</si>
  <si>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</si>
  <si>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</si>
  <si>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</si>
  <si>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</si>
  <si>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</si>
  <si>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</si>
  <si>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</si>
  <si>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</si>
  <si>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</si>
  <si>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</si>
  <si>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</si>
  <si>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</si>
  <si>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</si>
  <si>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</si>
  <si>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</si>
  <si>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</si>
  <si>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</si>
  <si>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</si>
  <si>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</si>
  <si>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</si>
  <si>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</si>
  <si>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</si>
  <si>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</si>
  <si>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</si>
  <si>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</si>
  <si>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</si>
  <si>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</si>
  <si>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</si>
  <si>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</si>
  <si>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</si>
  <si>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</si>
  <si>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</si>
  <si>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</si>
  <si>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</si>
  <si>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</si>
  <si>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</si>
  <si>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</si>
  <si>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</si>
  <si>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</si>
  <si>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</si>
  <si>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</si>
  <si>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</si>
  <si>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</si>
  <si>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</si>
  <si>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</si>
  <si>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</si>
  <si>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</si>
  <si>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</si>
  <si>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</si>
  <si>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</si>
  <si>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</si>
  <si>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</si>
  <si>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</si>
  <si>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</si>
  <si>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</si>
  <si>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</si>
  <si>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</si>
  <si>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</si>
  <si>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</si>
  <si>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</si>
  <si>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</si>
  <si>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</si>
  <si>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</si>
  <si>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</si>
  <si>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</si>
  <si>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</si>
  <si>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</si>
  <si>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</si>
  <si>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</si>
  <si>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</si>
  <si>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</si>
  <si>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</si>
  <si>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</si>
  <si>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</si>
  <si>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</si>
  <si>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</si>
  <si>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</si>
  <si>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</si>
  <si>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</si>
  <si>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</si>
  <si>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</si>
  <si>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</si>
  <si>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</si>
  <si>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</si>
  <si>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</si>
  <si>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</si>
  <si>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</si>
  <si>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</si>
  <si>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</si>
  <si>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</si>
  <si>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</si>
  <si>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</si>
  <si>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</si>
  <si>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</si>
  <si>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</si>
  <si>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</si>
  <si>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</si>
  <si>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</si>
  <si>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</si>
  <si>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</si>
  <si>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</si>
  <si>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</si>
  <si>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</si>
  <si>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</si>
  <si>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</si>
  <si>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</si>
  <si>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</si>
  <si>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</si>
  <si>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</si>
  <si>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</si>
  <si>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</si>
  <si>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</si>
  <si>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</si>
  <si>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</si>
  <si>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</si>
  <si>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</si>
  <si>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</si>
  <si>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</si>
  <si>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</si>
  <si>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</si>
  <si>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</si>
  <si>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</si>
  <si>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</si>
  <si>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</si>
  <si>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</si>
  <si>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</si>
  <si>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</si>
  <si>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</si>
  <si>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</si>
  <si>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</si>
  <si>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</si>
  <si>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</si>
  <si>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</si>
  <si>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</si>
  <si>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</si>
  <si>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</si>
  <si>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</si>
  <si>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</si>
  <si>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</si>
  <si>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</si>
  <si>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</si>
  <si>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</si>
  <si>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</si>
  <si>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</si>
  <si>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</si>
  <si>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</si>
  <si>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</si>
  <si>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</si>
  <si>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</si>
  <si>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</si>
  <si>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</si>
  <si>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</si>
  <si>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</si>
  <si>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</si>
  <si>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</si>
  <si>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</si>
  <si>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</si>
  <si>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</si>
  <si>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</si>
  <si>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</si>
  <si>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</si>
  <si>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</si>
  <si>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</si>
  <si>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</si>
  <si>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</si>
  <si>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</si>
  <si>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</si>
  <si>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</si>
  <si>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</si>
  <si>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</si>
  <si>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</si>
  <si>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</si>
  <si>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</si>
  <si>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</si>
  <si>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</si>
  <si>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</si>
  <si>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</si>
  <si>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</si>
  <si>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</si>
  <si>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</si>
  <si>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</si>
  <si>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</si>
  <si>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</si>
  <si>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</si>
  <si>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</si>
  <si>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</si>
  <si>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</si>
  <si>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</si>
  <si>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</si>
  <si>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</si>
  <si>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</si>
  <si>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</si>
  <si>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</si>
  <si>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</si>
  <si>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</si>
  <si>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</si>
  <si>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</si>
  <si>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</si>
  <si>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</si>
  <si>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</si>
  <si>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</si>
  <si>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</si>
  <si>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</si>
  <si>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</si>
  <si>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</si>
  <si>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</si>
  <si>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</si>
  <si>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</si>
  <si>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</si>
  <si>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</si>
  <si>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</si>
  <si>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</si>
  <si>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</si>
  <si>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</si>
  <si>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</si>
  <si>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</si>
  <si>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</si>
  <si>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</si>
  <si>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</si>
  <si>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</si>
  <si>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</si>
  <si>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</si>
  <si>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</si>
  <si>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</si>
  <si>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</si>
  <si>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</si>
  <si>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</si>
  <si>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</si>
  <si>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</si>
  <si>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</si>
  <si>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</si>
  <si>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</si>
  <si>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</si>
  <si>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</si>
  <si>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</si>
  <si>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</si>
  <si>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</si>
  <si>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</si>
  <si>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</si>
  <si>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</si>
  <si>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</si>
  <si>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</si>
  <si>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</si>
  <si>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</si>
  <si>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</si>
  <si>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</si>
  <si>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</si>
  <si>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</si>
  <si>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</si>
  <si>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</si>
  <si>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</si>
  <si>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</si>
  <si>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</si>
  <si>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</si>
  <si>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</si>
  <si>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</si>
  <si>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</si>
  <si>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</si>
  <si>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</si>
  <si>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</si>
  <si>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</si>
  <si>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</si>
  <si>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</si>
  <si>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</si>
  <si>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</si>
  <si>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</si>
  <si>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</si>
  <si>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</si>
  <si>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</si>
  <si>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</si>
  <si>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</si>
  <si>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</si>
  <si>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</si>
  <si>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</si>
  <si>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</si>
  <si>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</si>
  <si>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</si>
  <si>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</si>
  <si>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</si>
  <si>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</si>
  <si>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</si>
  <si>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</si>
  <si>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</si>
  <si>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</si>
  <si>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</si>
  <si>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</si>
  <si>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</si>
  <si>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</si>
  <si>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</si>
  <si>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</si>
  <si>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</si>
  <si>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</si>
  <si>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</si>
  <si>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</si>
  <si>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</si>
  <si>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</si>
  <si>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</si>
  <si>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</si>
  <si>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</si>
  <si>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</si>
  <si>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</si>
  <si>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</si>
  <si>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</si>
  <si>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</si>
  <si>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</si>
  <si>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</si>
  <si>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</si>
  <si>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</si>
  <si>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</si>
  <si>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</si>
  <si>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</si>
  <si>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</si>
  <si>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</si>
  <si>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</si>
  <si>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</si>
  <si>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</si>
  <si>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</si>
  <si>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</si>
  <si>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</si>
  <si>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</si>
  <si>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</si>
  <si>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</si>
  <si>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</si>
  <si>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</si>
  <si>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</si>
  <si>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</si>
  <si>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</si>
  <si>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</si>
  <si>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</si>
  <si>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</si>
  <si>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</si>
  <si>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</si>
  <si>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</si>
  <si>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</si>
  <si>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</si>
  <si>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</si>
  <si>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</si>
  <si>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</si>
  <si>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</si>
  <si>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</si>
  <si>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</si>
  <si>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</si>
  <si>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</si>
  <si>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</si>
  <si>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</si>
  <si>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</si>
  <si>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</si>
  <si>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</si>
  <si>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</si>
  <si>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</si>
  <si>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</si>
  <si>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</si>
  <si>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</si>
  <si>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</si>
  <si>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</si>
  <si>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</si>
  <si>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</si>
  <si>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</si>
  <si>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</si>
  <si>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</si>
  <si>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</si>
  <si>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</si>
  <si>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</si>
  <si>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</si>
  <si>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</si>
  <si>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</si>
  <si>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</si>
  <si>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</si>
  <si>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</si>
  <si>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</si>
  <si>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</si>
  <si>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</si>
  <si>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</si>
  <si>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</si>
  <si>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</si>
  <si>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</si>
  <si>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</si>
  <si>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</si>
  <si>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</si>
  <si>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</si>
  <si>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</si>
  <si>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</si>
  <si>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</si>
  <si>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</si>
  <si>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</si>
  <si>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</si>
  <si>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</si>
  <si>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</si>
  <si>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</si>
  <si>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</si>
  <si>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</si>
  <si>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</si>
  <si>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</si>
  <si>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</si>
  <si>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</si>
  <si>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</si>
  <si>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</si>
  <si>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</si>
  <si>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</si>
  <si>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</si>
  <si>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</si>
  <si>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</si>
  <si>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</si>
  <si>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</si>
  <si>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</si>
  <si>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</si>
  <si>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</si>
  <si>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</si>
  <si>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</si>
  <si>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</si>
  <si>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</si>
  <si>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</si>
  <si>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</si>
  <si>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</si>
  <si>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</si>
  <si>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</si>
  <si>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</si>
  <si>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</si>
  <si>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</si>
  <si>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</si>
  <si>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</si>
  <si>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</si>
  <si>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</si>
  <si>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</si>
  <si>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</si>
  <si>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</si>
  <si>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</si>
  <si>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</si>
  <si>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</si>
  <si>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</si>
  <si>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</si>
  <si>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</si>
  <si>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</si>
  <si>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</si>
  <si>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</si>
  <si>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</si>
  <si>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</si>
  <si>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</si>
  <si>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</si>
  <si>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</si>
  <si>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</si>
  <si>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</si>
  <si>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</si>
  <si>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</si>
  <si>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</si>
  <si>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</si>
  <si>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</si>
  <si>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</si>
  <si>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</si>
  <si>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</si>
  <si>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</si>
  <si>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</si>
  <si>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</si>
  <si>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</si>
  <si>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</si>
  <si>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</si>
  <si>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</si>
  <si>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</si>
  <si>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</si>
  <si>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</si>
  <si>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</si>
  <si>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</si>
  <si>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</si>
  <si>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</si>
  <si>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</si>
  <si>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</si>
  <si>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</si>
  <si>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</si>
  <si>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</si>
  <si>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</si>
  <si>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</si>
  <si>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</si>
  <si>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</si>
  <si>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</si>
  <si>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</si>
  <si>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</si>
  <si>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</si>
  <si>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</si>
  <si>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</si>
  <si>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</si>
  <si>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</si>
  <si>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</si>
  <si>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</si>
  <si>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</si>
  <si>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</si>
  <si>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</si>
  <si>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</si>
  <si>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</si>
  <si>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</si>
  <si>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</si>
  <si>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</si>
  <si>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</si>
  <si>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</si>
  <si>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</si>
  <si>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</si>
  <si>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</si>
  <si>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</si>
  <si>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</si>
  <si>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</si>
  <si>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</si>
  <si>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</si>
  <si>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</si>
  <si>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</si>
  <si>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</si>
  <si>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</si>
  <si>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</si>
  <si>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</si>
  <si>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</si>
  <si>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</si>
  <si>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</si>
  <si>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</si>
  <si>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</si>
  <si>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</si>
  <si>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</si>
  <si>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</si>
  <si>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</si>
  <si>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</si>
  <si>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</si>
  <si>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</si>
  <si>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</si>
  <si>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</si>
  <si>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</si>
  <si>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</si>
  <si>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</si>
  <si>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</si>
  <si>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</si>
  <si>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</si>
  <si>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</si>
  <si>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</si>
  <si>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</si>
  <si>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</si>
  <si>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</si>
  <si>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</si>
  <si>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</si>
  <si>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</si>
  <si>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</si>
  <si>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</si>
  <si>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</si>
  <si>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</si>
  <si>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</si>
  <si>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</si>
  <si>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</si>
  <si>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</si>
  <si>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</si>
  <si>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</si>
  <si>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</si>
  <si>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</si>
  <si>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</si>
  <si>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</si>
  <si>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</si>
  <si>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</si>
  <si>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</si>
  <si>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</si>
  <si>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</si>
  <si>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</si>
  <si>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</si>
  <si>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</si>
  <si>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</si>
  <si>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</si>
  <si>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</si>
  <si>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</si>
  <si>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</si>
  <si>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</si>
  <si>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</si>
  <si>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</si>
  <si>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</si>
  <si>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</si>
  <si>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</si>
  <si>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</si>
  <si>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</si>
  <si>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</si>
  <si>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</si>
  <si>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</si>
  <si>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</si>
  <si>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</si>
  <si>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</si>
  <si>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</si>
  <si>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</si>
  <si>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</si>
  <si>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</si>
  <si>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</si>
  <si>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</si>
  <si>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</si>
  <si>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</si>
  <si>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</si>
  <si>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</si>
  <si>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</si>
  <si>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</si>
  <si>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</si>
  <si>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</si>
  <si>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</si>
  <si>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</si>
  <si>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</si>
  <si>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</si>
  <si>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</si>
  <si>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</si>
  <si>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</si>
  <si>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</si>
  <si>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</si>
  <si>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</si>
  <si>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</si>
  <si>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</si>
  <si>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</si>
  <si>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</si>
  <si>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</si>
  <si>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</si>
  <si>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</si>
  <si>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</si>
  <si>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</si>
  <si>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</si>
  <si>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</si>
  <si>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</si>
  <si>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</si>
  <si>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</si>
  <si>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</si>
  <si>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</si>
  <si>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</si>
  <si>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</si>
  <si>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</si>
  <si>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</si>
  <si>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</si>
  <si>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</si>
  <si>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</si>
  <si>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</si>
  <si>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</si>
  <si>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</si>
  <si>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</si>
  <si>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</si>
  <si>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</si>
  <si>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</si>
  <si>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</si>
  <si>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</si>
  <si>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</si>
  <si>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</si>
  <si>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</si>
  <si>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</si>
  <si>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</si>
  <si>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</si>
  <si>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</si>
  <si>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</si>
  <si>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</si>
  <si>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</si>
  <si>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</si>
  <si>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</si>
  <si>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</si>
  <si>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</si>
  <si>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</si>
  <si>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</si>
  <si>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</si>
  <si>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</si>
  <si>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</si>
  <si>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</si>
  <si>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</si>
  <si>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</si>
  <si>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</si>
  <si>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</si>
  <si>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</si>
  <si>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</si>
  <si>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</si>
  <si>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</si>
  <si>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</si>
  <si>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</si>
  <si>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</si>
  <si>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</si>
  <si>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</si>
  <si>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</si>
  <si>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</si>
  <si>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</si>
  <si>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</si>
  <si>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</si>
  <si>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</si>
  <si>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</si>
  <si>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</si>
  <si>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</si>
  <si>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</si>
  <si>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</si>
  <si>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</si>
  <si>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</si>
  <si>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</si>
  <si>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</si>
  <si>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</si>
  <si>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</si>
  <si>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</si>
  <si>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</si>
  <si>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</si>
  <si>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</si>
  <si>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</si>
  <si>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</si>
  <si>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</si>
  <si>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</si>
  <si>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</si>
  <si>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</si>
  <si>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</si>
  <si>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</si>
  <si>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</si>
  <si>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</si>
  <si>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</si>
  <si>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</si>
  <si>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</si>
  <si>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</si>
  <si>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</si>
  <si>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</si>
  <si>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</si>
  <si>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</si>
  <si>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</si>
  <si>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</si>
  <si>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</si>
  <si>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</si>
  <si>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</si>
  <si>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</si>
  <si>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</si>
  <si>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</si>
  <si>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</si>
  <si>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</si>
  <si>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</si>
  <si>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</si>
  <si>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</si>
  <si>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</si>
  <si>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</si>
  <si>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</si>
  <si>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</si>
  <si>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</si>
  <si>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</si>
  <si>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</si>
  <si>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</si>
  <si>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</si>
  <si>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</si>
  <si>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</si>
  <si>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</si>
  <si>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</si>
  <si>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</si>
  <si>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</si>
  <si>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</si>
  <si>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</si>
  <si>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</si>
  <si>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</si>
  <si>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</si>
  <si>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</si>
  <si>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</si>
  <si>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</si>
  <si>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</si>
  <si>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</si>
  <si>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</si>
  <si>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</si>
  <si>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</si>
  <si>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</si>
  <si>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</si>
  <si>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</si>
  <si>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</si>
  <si>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</si>
  <si>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</si>
  <si>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</si>
  <si>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</si>
  <si>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</si>
  <si>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</si>
  <si>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</si>
  <si>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</si>
  <si>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</si>
  <si>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</si>
  <si>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</si>
  <si>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</si>
  <si>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</si>
  <si>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</si>
  <si>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</si>
  <si>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</si>
  <si>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</si>
  <si>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</si>
  <si>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</si>
  <si>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</si>
  <si>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</si>
  <si>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</si>
  <si>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</si>
  <si>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</si>
  <si>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</si>
  <si>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</si>
  <si>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</si>
  <si>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</si>
  <si>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</si>
  <si>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</si>
  <si>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</si>
  <si>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</si>
  <si>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</si>
  <si>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</si>
  <si>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</si>
  <si>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</si>
  <si>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</si>
  <si>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</si>
  <si>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</si>
  <si>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</si>
  <si>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</si>
  <si>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</si>
  <si>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</si>
  <si>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</si>
  <si>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</si>
  <si>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</si>
  <si>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</si>
  <si>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</si>
  <si>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</si>
  <si>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</si>
  <si>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</si>
  <si>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</si>
  <si>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</si>
  <si>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</si>
  <si>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</si>
  <si>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</si>
  <si>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</si>
  <si>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</si>
  <si>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</si>
  <si>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</si>
  <si>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</si>
  <si>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</si>
  <si>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</si>
  <si>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</si>
  <si>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</si>
  <si>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</si>
  <si>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</si>
  <si>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</si>
  <si>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</si>
  <si>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</si>
  <si>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</si>
  <si>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</si>
  <si>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</si>
  <si>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</si>
  <si>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</si>
  <si>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</si>
  <si>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</si>
  <si>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</si>
  <si>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</si>
  <si>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</si>
  <si>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</si>
  <si>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</si>
  <si>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</si>
  <si>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</si>
  <si>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</si>
  <si>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</si>
  <si>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</si>
  <si>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</si>
  <si>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</si>
  <si>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</si>
  <si>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</si>
  <si>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</si>
  <si>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</si>
  <si>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</si>
  <si>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</si>
  <si>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</si>
  <si>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</si>
  <si>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</si>
  <si>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</si>
  <si>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</si>
  <si>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</si>
  <si>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</si>
  <si>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</si>
  <si>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</si>
  <si>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</si>
  <si>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</si>
  <si>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</si>
  <si>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</si>
  <si>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</si>
  <si>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</si>
  <si>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</si>
  <si>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</si>
  <si>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</si>
  <si>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</si>
  <si>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</si>
  <si>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</si>
  <si>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</si>
  <si>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</si>
  <si>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</si>
  <si>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</si>
  <si>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</si>
  <si>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</si>
  <si>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</si>
  <si>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</si>
  <si>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</si>
  <si>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</si>
  <si>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</si>
  <si>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</si>
  <si>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</si>
  <si>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</si>
  <si>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</si>
  <si>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</si>
  <si>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</si>
  <si>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</si>
  <si>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</si>
  <si>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</si>
  <si>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</si>
  <si>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</si>
  <si>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</si>
  <si>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</si>
  <si>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</si>
  <si>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</si>
  <si>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</si>
  <si>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</si>
  <si>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</si>
  <si>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</si>
  <si>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</si>
  <si>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</si>
  <si>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</si>
  <si>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</si>
  <si>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</si>
  <si>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</si>
  <si>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</si>
  <si>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</si>
  <si>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</si>
  <si>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</si>
  <si>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</si>
  <si>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</si>
  <si>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</si>
  <si>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</si>
  <si>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</si>
  <si>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</si>
  <si>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</si>
  <si>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</si>
  <si>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</si>
  <si>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</si>
  <si>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</si>
  <si>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</si>
  <si>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</si>
  <si>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</si>
  <si>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</si>
  <si>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</si>
  <si>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</si>
  <si>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</si>
  <si>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</si>
  <si>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</si>
  <si>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</si>
  <si>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</si>
  <si>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</si>
  <si>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</si>
  <si>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</si>
  <si>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</si>
  <si>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</si>
  <si>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</si>
  <si>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</si>
  <si>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</si>
  <si>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</si>
  <si>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</si>
  <si>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</si>
  <si>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</si>
  <si>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</si>
  <si>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</si>
  <si>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</si>
  <si>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</si>
  <si>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</si>
  <si>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</si>
  <si>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</si>
  <si>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</si>
  <si>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</si>
  <si>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</si>
  <si>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</si>
  <si>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</si>
  <si>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</si>
  <si>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</si>
  <si>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</si>
  <si>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</si>
  <si>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</si>
  <si>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</si>
  <si>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</si>
  <si>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</si>
  <si>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</si>
  <si>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</si>
  <si>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</si>
  <si>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</si>
  <si>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</si>
  <si>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</si>
  <si>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</si>
  <si>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</si>
  <si>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</si>
  <si>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</si>
  <si>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</si>
  <si>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</si>
  <si>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</si>
  <si>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</si>
  <si>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</si>
  <si>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</si>
  <si>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</si>
  <si>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</si>
  <si>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</si>
  <si>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</si>
  <si>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</si>
  <si>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</si>
  <si>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</si>
  <si>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</si>
  <si>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</si>
  <si>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</si>
  <si>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</si>
  <si>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</si>
  <si>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</si>
  <si>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</si>
  <si>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</si>
  <si>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</si>
  <si>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</si>
  <si>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</si>
  <si>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</si>
  <si>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</si>
  <si>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</si>
  <si>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</si>
  <si>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</si>
  <si>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</si>
  <si>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</si>
  <si>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</si>
  <si>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</si>
  <si>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</si>
  <si>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</si>
  <si>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</si>
  <si>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</si>
  <si>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</si>
  <si>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</si>
  <si>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</si>
  <si>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</si>
  <si>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</si>
  <si>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</si>
  <si>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</si>
  <si>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</si>
  <si>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</si>
  <si>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</si>
  <si>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</si>
  <si>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</si>
  <si>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</si>
  <si>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</si>
  <si>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</si>
  <si>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</si>
  <si>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</si>
  <si>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</si>
  <si>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</si>
  <si>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</si>
  <si>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</si>
  <si>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</si>
  <si>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</si>
  <si>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</si>
  <si>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</si>
  <si>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</si>
  <si>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</si>
  <si>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</si>
  <si>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</si>
  <si>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</si>
  <si>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</si>
  <si>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</si>
  <si>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</si>
  <si>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</si>
  <si>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</si>
  <si>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</si>
  <si>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</si>
  <si>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</si>
  <si>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</si>
  <si>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</si>
  <si>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</si>
  <si>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</si>
  <si>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</si>
  <si>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</si>
  <si>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</si>
  <si>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</si>
  <si>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</si>
  <si>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</si>
  <si>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</si>
  <si>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</si>
  <si>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</si>
  <si>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</si>
  <si>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</si>
  <si>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</si>
  <si>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</si>
  <si>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</si>
  <si>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</si>
  <si>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</si>
  <si>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</si>
  <si>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</si>
  <si>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</si>
  <si>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</si>
  <si>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</si>
  <si>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</si>
  <si>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</si>
  <si>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</si>
  <si>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</si>
  <si>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</si>
  <si>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</si>
  <si>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</si>
  <si>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</si>
  <si>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</si>
  <si>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</si>
  <si>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</si>
  <si>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</si>
  <si>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</si>
  <si>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</si>
  <si>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</si>
  <si>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</si>
  <si>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</si>
  <si>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</si>
  <si>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</si>
  <si>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</si>
  <si>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</si>
  <si>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</si>
  <si>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</si>
  <si>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</si>
  <si>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</si>
  <si>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</si>
  <si>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</si>
  <si>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</si>
  <si>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</si>
  <si>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</si>
  <si>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</si>
  <si>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</si>
  <si>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</si>
  <si>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</si>
  <si>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</si>
  <si>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</si>
  <si>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</si>
  <si>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</si>
  <si>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</si>
  <si>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</si>
  <si>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</si>
  <si>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</si>
  <si>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</si>
  <si>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</si>
  <si>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</si>
  <si>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</si>
  <si>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</si>
  <si>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</si>
  <si>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</si>
  <si>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</si>
  <si>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</si>
  <si>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</si>
  <si>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</si>
  <si>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</si>
  <si>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</si>
  <si>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</si>
  <si>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</si>
  <si>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</si>
  <si>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ASU Preparatory Academy - Digital</t>
  </si>
  <si>
    <t>Maricopa</t>
  </si>
  <si>
    <t>078284000</t>
  </si>
  <si>
    <t>Chairperson</t>
  </si>
  <si>
    <t>Vice Chairperson</t>
  </si>
  <si>
    <t>Treasurer</t>
  </si>
  <si>
    <t>Director</t>
  </si>
  <si>
    <t>Board Member</t>
  </si>
  <si>
    <t>Account</t>
  </si>
  <si>
    <t>Fund</t>
  </si>
  <si>
    <t>Tuition Revenue - Concurrent - AZ - Non ADM</t>
  </si>
  <si>
    <t>Tuition Revenue - AZ</t>
  </si>
  <si>
    <t>Interest Income</t>
  </si>
  <si>
    <t>Student Activities Fees</t>
  </si>
  <si>
    <t>Tax Credit Donation - Unrestircted</t>
  </si>
  <si>
    <t>Tax Credit Donation - Restircted</t>
  </si>
  <si>
    <t>Contributions and Donations - Without Donor Restrictions</t>
  </si>
  <si>
    <t>Contributions and Donations - With Donor Restrictions</t>
  </si>
  <si>
    <t>Revenue - ASU Support</t>
  </si>
  <si>
    <t>In-Kind Services - ASU</t>
  </si>
  <si>
    <t>Private Grant Revenue</t>
  </si>
  <si>
    <t>Grants through ASU</t>
  </si>
  <si>
    <t>Refund of Prior Year Expenses</t>
  </si>
  <si>
    <t>State Equalization Assistance</t>
  </si>
  <si>
    <t>Prop 123</t>
  </si>
  <si>
    <t>College Credit by Examination Program(CCEIP)</t>
  </si>
  <si>
    <t>Prop 301</t>
  </si>
  <si>
    <t>School Safety Program Expansion</t>
  </si>
  <si>
    <t>Targeted School Improvement</t>
  </si>
  <si>
    <t>Title III - ELL</t>
  </si>
  <si>
    <t>IDEA</t>
  </si>
  <si>
    <t>ARP-HCY (Homeless Children and Youth)</t>
  </si>
  <si>
    <t>ESF(Education Stabilization Fund)</t>
  </si>
  <si>
    <t>Salaries - General</t>
  </si>
  <si>
    <t>Salaries - Certified Teacher</t>
  </si>
  <si>
    <t>Salaries - Substitutes</t>
  </si>
  <si>
    <t>Salaries - Instructional Assistants</t>
  </si>
  <si>
    <t>Adjunct Salaries - General</t>
  </si>
  <si>
    <t>Adjunct Salaries - Certified Teacher</t>
  </si>
  <si>
    <t>Salaries - General - Additional Pay</t>
  </si>
  <si>
    <t>Salaries - Certified Teacher - Additional Pay</t>
  </si>
  <si>
    <t>Salaries - Instructional Assistants - Additional Pay</t>
  </si>
  <si>
    <t>Adjunct Salaries - Certified Teacher - Additional Pay</t>
  </si>
  <si>
    <t>Salaries - Noncertified Teacher</t>
  </si>
  <si>
    <t>Adjunct 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</si>
  <si>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</si>
  <si>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</si>
  <si>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</si>
  <si>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</si>
  <si>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</si>
  <si>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</si>
  <si>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</si>
  <si>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</si>
  <si>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</si>
  <si>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</si>
  <si>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</si>
  <si>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</si>
  <si>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</si>
  <si>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</si>
  <si>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</si>
  <si>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</si>
  <si>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</si>
  <si>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</si>
  <si>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</si>
  <si>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Counselors and Therapists</t>
  </si>
  <si>
    <t>Training and Professional Development</t>
  </si>
  <si>
    <t>Other Professional Services</t>
  </si>
  <si>
    <t>Marketing</t>
  </si>
  <si>
    <t>Legal</t>
  </si>
  <si>
    <t>Disposal</t>
  </si>
  <si>
    <t>Custodial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</si>
  <si>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</si>
  <si>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</si>
  <si>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</si>
  <si>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</si>
  <si>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</si>
  <si>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</si>
  <si>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</si>
  <si>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</si>
  <si>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</si>
  <si>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</si>
  <si>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</si>
  <si>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Field Trips</t>
  </si>
  <si>
    <t>General Supplies</t>
  </si>
  <si>
    <t>Testing and Assessment</t>
  </si>
  <si>
    <t>Electricity</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</si>
  <si>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</si>
  <si>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</si>
  <si>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</si>
  <si>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</si>
  <si>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</si>
  <si>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</si>
  <si>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</si>
  <si>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</si>
  <si>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</si>
  <si>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</si>
  <si>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</si>
  <si>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</si>
  <si>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N/A</t>
  </si>
  <si>
    <t xml:space="preserve">The surplus of this charter will offset the deficits of other charters in FY24.  As a network of charters we anticipate minimal funds carrying over from FY24 to FY25 and plan for a balanced budget for FY25 and beyond. </t>
  </si>
  <si>
    <t>Phillip Netolicky</t>
  </si>
  <si>
    <t>pnetolic@asu.edu</t>
  </si>
  <si>
    <t>Jill Rogier</t>
  </si>
  <si>
    <t>Jrogier@asu.edu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</si>
</sst>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6" x14ac:knownFonts="1">
    <font>
      <sz val="10"/>
      <name val="Times New Roman"/>
      <family val="2"/>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s>
  <cellStyleXfs count="15">
    <xf numFmtId="0" fontId="0" fillId="0" borderId="0"/>
    <xf numFmtId="9" fontId="64"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7" fillId="0" borderId="0" applyNumberFormat="0" applyFill="0" applyBorder="0">
      <protection locked="0"/>
    </xf>
    <xf numFmtId="0" fontId="3" fillId="0" borderId="0"/>
    <xf numFmtId="0" fontId="14" fillId="0" borderId="0" applyFont="0" applyBorder="0"/>
    <xf numFmtId="0" fontId="2" fillId="0" borderId="0"/>
    <xf numFmtId="0" fontId="2" fillId="0" borderId="0"/>
    <xf numFmtId="0" fontId="3" fillId="0" borderId="0"/>
    <xf numFmtId="0" fontId="47" fillId="0" borderId="0" applyNumberFormat="0" applyFill="0" applyBorder="0">
      <protection locked="0"/>
    </xf>
    <xf numFmtId="0" fontId="64" fillId="0" borderId="0"/>
    <xf numFmtId="0" fontId="7" fillId="0" borderId="0" applyNumberFormat="0" applyFill="0" applyBorder="0">
      <protection locked="0"/>
    </xf>
  </cellStyleXfs>
  <cellXfs count="902">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16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3" fillId="0" borderId="0" xfId="7" applyProtection="1">
      <protection locked="0"/>
    </xf>
    <xf numFmtId="0" fontId="3" fillId="0" borderId="0" xfId="7" applyAlignment="1" applyProtection="1">
      <alignment horizontal="left" vertical="top"/>
      <protection locked="0"/>
    </xf>
    <xf numFmtId="0" fontId="3" fillId="0" borderId="0" xfId="7"/>
    <xf numFmtId="0" fontId="3" fillId="3" borderId="2" xfId="7" applyFill="1" applyBorder="1" applyAlignment="1" applyProtection="1">
      <alignment horizontal="left" vertical="top"/>
      <protection locked="0"/>
    </xf>
    <xf numFmtId="0" fontId="37" fillId="0" borderId="0" xfId="7" applyFont="1" applyAlignment="1" applyProtection="1">
      <alignment horizontal="left" vertical="top"/>
      <protection locked="0"/>
    </xf>
    <xf numFmtId="40" fontId="39" fillId="2" borderId="1" xfId="7" applyNumberFormat="1" applyFont="1" applyFill="1" applyBorder="1" applyAlignment="1" applyProtection="1">
      <alignment horizontal="center"/>
      <protection locked="0"/>
    </xf>
    <xf numFmtId="40" fontId="3" fillId="0" borderId="0" xfId="7" applyNumberFormat="1" applyAlignment="1" applyProtection="1">
      <alignment horizontal="left" vertical="top"/>
      <protection locked="0"/>
    </xf>
    <xf numFmtId="40" fontId="3" fillId="0" borderId="0" xfId="7" applyNumberFormat="1" applyProtection="1">
      <protection locked="0"/>
    </xf>
    <xf numFmtId="0" fontId="39" fillId="2" borderId="2" xfId="7" applyFont="1" applyFill="1" applyBorder="1" applyAlignment="1" applyProtection="1">
      <alignment horizontal="center"/>
      <protection locked="0"/>
    </xf>
    <xf numFmtId="0" fontId="3" fillId="3" borderId="0" xfId="7" applyFill="1" applyProtection="1">
      <protection locked="0"/>
    </xf>
    <xf numFmtId="0" fontId="3" fillId="3" borderId="0" xfId="7" applyFill="1" applyAlignment="1" applyProtection="1">
      <alignment horizontal="left" vertical="top"/>
      <protection locked="0"/>
    </xf>
    <xf numFmtId="0" fontId="3"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4"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5"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1"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1"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4" fillId="0" borderId="0" xfId="0" applyFont="1" applyAlignment="1">
      <alignment horizontal="right"/>
    </xf>
    <xf numFmtId="0" fontId="4" fillId="0" borderId="1" xfId="0" applyFont="1" applyBorder="1" applyAlignment="1">
      <alignment horizontal="center"/>
    </xf>
    <xf numFmtId="0" fontId="5"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5"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5"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4" fillId="0" borderId="16" xfId="0" applyFont="1" applyBorder="1"/>
    <xf numFmtId="0" fontId="0" fillId="0" borderId="17" xfId="0" applyBorder="1"/>
    <xf numFmtId="0" fontId="0" fillId="0" borderId="5" xfId="0" applyBorder="1" applyAlignment="1">
      <alignment horizontal="center"/>
    </xf>
    <xf numFmtId="0" fontId="4"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4"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4" fillId="0" borderId="3" xfId="0" applyNumberFormat="1" applyFont="1" applyBorder="1"/>
    <xf numFmtId="0" fontId="6"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4"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4" fillId="0" borderId="3" xfId="0" applyFont="1" applyBorder="1" applyAlignment="1">
      <alignment vertical="center"/>
    </xf>
    <xf numFmtId="0" fontId="4" fillId="0" borderId="12" xfId="0" applyFont="1" applyBorder="1" applyAlignment="1">
      <alignment vertical="center"/>
    </xf>
    <xf numFmtId="0" fontId="4" fillId="0" borderId="7"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xf>
    <xf numFmtId="0" fontId="44"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9"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4"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5" fillId="0" borderId="10" xfId="0" applyFont="1" applyBorder="1" applyAlignment="1">
      <alignment horizontal="center" wrapText="1"/>
    </xf>
    <xf numFmtId="0" fontId="5" fillId="0" borderId="15" xfId="0" applyFont="1" applyBorder="1" applyAlignment="1">
      <alignment horizontal="center" wrapText="1"/>
    </xf>
    <xf numFmtId="0" fontId="5"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7" fillId="6" borderId="0" xfId="6" applyFill="1" applyProtection="1"/>
    <xf numFmtId="0" fontId="6" fillId="0" borderId="0" xfId="0" applyFont="1"/>
    <xf numFmtId="37" fontId="0" fillId="0" borderId="19" xfId="0" applyNumberFormat="1" applyBorder="1"/>
    <xf numFmtId="49" fontId="16"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3"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1" fillId="6" borderId="1" xfId="6" applyFont="1" applyFill="1" applyBorder="1" applyAlignment="1" applyProtection="1">
      <alignment horizontal="center" wrapText="1"/>
    </xf>
    <xf numFmtId="0" fontId="11"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4" fillId="5" borderId="0" xfId="0" applyNumberFormat="1" applyFont="1" applyFill="1"/>
    <xf numFmtId="168" fontId="30" fillId="0" borderId="0" xfId="6" applyNumberFormat="1" applyFont="1" applyFill="1" applyProtection="1"/>
    <xf numFmtId="168" fontId="15"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4"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7"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7"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33"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4"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1"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4" fillId="6" borderId="4" xfId="10" applyFont="1" applyFill="1" applyBorder="1"/>
    <xf numFmtId="0" fontId="4"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4" fillId="0" borderId="0" xfId="13" applyFont="1"/>
    <xf numFmtId="0" fontId="64" fillId="0" borderId="0" xfId="13"/>
    <xf numFmtId="168" fontId="4" fillId="5" borderId="0" xfId="13" applyNumberFormat="1" applyFont="1" applyFill="1" applyAlignment="1">
      <alignment horizontal="left"/>
    </xf>
    <xf numFmtId="0" fontId="11"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0" fontId="33" fillId="0" borderId="0" xfId="13" applyFont="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0" fontId="33" fillId="4" borderId="0" xfId="8" applyFont="1" applyFill="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1" fillId="6" borderId="0" xfId="6" quotePrefix="1" applyNumberFormat="1" applyFont="1" applyFill="1" applyAlignment="1" applyProtection="1">
      <alignment horizontal="right"/>
    </xf>
    <xf numFmtId="0" fontId="0" fillId="0" borderId="0" xfId="0" applyAlignment="1">
      <alignment horizontal="left" vertical="top"/>
    </xf>
    <xf numFmtId="0" fontId="4" fillId="0" borderId="0" xfId="0" quotePrefix="1" applyFont="1" applyAlignment="1">
      <alignment horizontal="left"/>
    </xf>
    <xf numFmtId="0" fontId="56" fillId="0" borderId="0" xfId="0" applyFont="1"/>
    <xf numFmtId="0" fontId="0" fillId="0" borderId="1" xfId="0" applyBorder="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1"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3"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9"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8"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8" fillId="0" borderId="1" xfId="7" applyFont="1" applyBorder="1" applyAlignment="1">
      <alignment horizontal="center"/>
    </xf>
    <xf numFmtId="0" fontId="18"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3" fillId="0" borderId="1" xfId="7" applyFont="1" applyBorder="1"/>
    <xf numFmtId="0" fontId="37" fillId="9" borderId="1" xfId="7" applyFont="1" applyFill="1" applyBorder="1"/>
    <xf numFmtId="0" fontId="4"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2" fillId="0" borderId="0" xfId="6" applyNumberFormat="1" applyFont="1" applyFill="1" applyBorder="1" applyProtection="1"/>
    <xf numFmtId="168" fontId="0" fillId="5" borderId="1" xfId="0" applyNumberFormat="1" applyFill="1" applyBorder="1" applyAlignment="1">
      <alignment horizontal="justify" vertical="top"/>
    </xf>
    <xf numFmtId="168" fontId="31"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1"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1"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1"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4" fillId="0" borderId="1" xfId="0" applyFont="1" applyBorder="1" applyAlignment="1">
      <alignment vertical="top" wrapText="1"/>
    </xf>
    <xf numFmtId="0" fontId="0" fillId="5" borderId="1" xfId="0" applyFill="1" applyBorder="1" applyAlignment="1">
      <alignment horizontal="left" vertical="top" wrapText="1"/>
    </xf>
    <xf numFmtId="0" fontId="33"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9" fillId="0" borderId="8" xfId="6" applyNumberFormat="1" applyFont="1" applyBorder="1" applyAlignment="1" applyProtection="1">
      <alignment horizontal="justify"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7"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8" fillId="0" borderId="8" xfId="13" applyNumberFormat="1" applyFont="1" applyBorder="1" applyProtection="1">
      <protection locked="0"/>
    </xf>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37" fontId="48" fillId="0" borderId="9"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4"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1"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37" fontId="29" fillId="5" borderId="1" xfId="10" applyNumberFormat="1" applyFont="1" applyFill="1" applyBorder="1" applyProtection="1">
      <protection locked="0"/>
    </xf>
    <xf numFmtId="168" fontId="4" fillId="0" borderId="0" xfId="6" applyNumberFormat="1" applyFont="1" applyFill="1" applyAlignment="1" applyProtection="1">
      <alignment horizontal="left" vertical="top"/>
    </xf>
    <xf numFmtId="0" fontId="29" fillId="0" borderId="0" xfId="0" applyFont="1"/>
    <xf numFmtId="0" fontId="33" fillId="0" borderId="0" xfId="0" applyFont="1"/>
    <xf numFmtId="0" fontId="4"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5" fillId="6" borderId="12" xfId="6" applyFont="1" applyFill="1" applyBorder="1" applyProtection="1"/>
    <xf numFmtId="0" fontId="15"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4" fillId="0" borderId="0" xfId="6" applyNumberFormat="1" applyFont="1" applyFill="1" applyAlignment="1" applyProtection="1">
      <alignment vertical="top"/>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0" fillId="0" borderId="0" xfId="0" applyAlignment="1">
      <alignment horizontal="center"/>
    </xf>
    <xf numFmtId="0" fontId="4"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4"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4"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4"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9"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7" fillId="0" borderId="10" xfId="0" applyFont="1" applyBorder="1" applyAlignment="1">
      <alignment vertical="top" wrapText="1"/>
    </xf>
    <xf numFmtId="168" fontId="0" fillId="0" borderId="5" xfId="0" applyNumberFormat="1" applyBorder="1" applyAlignment="1">
      <alignment horizontal="justify" vertical="top"/>
    </xf>
    <xf numFmtId="0" fontId="17"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1" fillId="0" borderId="13" xfId="6" applyFont="1" applyFill="1" applyBorder="1" applyAlignment="1" applyProtection="1">
      <alignment horizontal="center" vertical="top"/>
    </xf>
    <xf numFmtId="0" fontId="52" fillId="0" borderId="1" xfId="0" applyFont="1" applyBorder="1" applyAlignment="1">
      <alignment horizontal="center" vertical="top" wrapText="1"/>
    </xf>
    <xf numFmtId="0" fontId="11" fillId="0" borderId="8" xfId="6" applyFont="1" applyFill="1" applyBorder="1" applyAlignment="1" applyProtection="1">
      <alignment horizontal="center" vertical="top"/>
    </xf>
    <xf numFmtId="0" fontId="11" fillId="0" borderId="0" xfId="6" applyFont="1" applyFill="1" applyAlignment="1" applyProtection="1">
      <alignment horizontal="center" vertical="top"/>
    </xf>
    <xf numFmtId="0" fontId="11" fillId="0" borderId="14" xfId="6" applyFont="1" applyFill="1" applyBorder="1" applyAlignment="1" applyProtection="1">
      <alignment horizontal="center" vertical="top"/>
    </xf>
    <xf numFmtId="0" fontId="11" fillId="0" borderId="15" xfId="6" applyFont="1" applyFill="1" applyBorder="1" applyAlignment="1" applyProtection="1">
      <alignment horizontal="center" vertical="top"/>
    </xf>
    <xf numFmtId="0" fontId="11"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168" fontId="53" fillId="0" borderId="0" xfId="6" quotePrefix="1" applyNumberFormat="1" applyFont="1" applyFill="1" applyAlignment="1" applyProtection="1">
      <alignment vertical="top"/>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4" fillId="0" borderId="0" xfId="13" applyNumberFormat="1"/>
    <xf numFmtId="0" fontId="0" fillId="0" borderId="1" xfId="0" applyBorder="1" applyProtection="1">
      <protection locked="0"/>
    </xf>
    <xf numFmtId="42" fontId="64" fillId="5" borderId="0" xfId="13" applyNumberFormat="1" applyFill="1"/>
    <xf numFmtId="37" fontId="64"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168" fontId="0" fillId="5" borderId="0" xfId="10" applyNumberFormat="1" applyFont="1" applyFill="1" applyAlignment="1">
      <alignment horizontal="right"/>
    </xf>
    <xf numFmtId="0" fontId="4"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3" fillId="0" borderId="9" xfId="6" applyFont="1" applyFill="1" applyBorder="1" applyAlignment="1" applyProtection="1">
      <alignment horizontal="left"/>
    </xf>
    <xf numFmtId="37" fontId="65" fillId="0" borderId="1" xfId="0" applyNumberFormat="1" applyFont="1" applyBorder="1"/>
    <xf numFmtId="168" fontId="65" fillId="0" borderId="1" xfId="0" applyNumberFormat="1" applyFont="1" applyBorder="1" applyAlignment="1">
      <alignment horizontal="justify" vertical="top" wrapText="1"/>
    </xf>
    <xf numFmtId="168" fontId="65" fillId="0" borderId="1" xfId="0" applyNumberFormat="1" applyFont="1" applyBorder="1" applyAlignment="1">
      <alignment horizontal="justify" vertical="top"/>
    </xf>
    <xf numFmtId="168" fontId="65" fillId="0" borderId="1" xfId="0" applyNumberFormat="1" applyFont="1" applyBorder="1" applyAlignment="1">
      <alignment horizontal="left" vertical="top" wrapText="1"/>
    </xf>
    <xf numFmtId="0" fontId="65" fillId="18" borderId="1" xfId="0" applyFont="1" applyFill="1" applyBorder="1" applyAlignment="1">
      <alignment vertical="top" wrapText="1"/>
    </xf>
    <xf numFmtId="0" fontId="61" fillId="0" borderId="0" xfId="0" applyFont="1" applyAlignment="1" applyProtection="1">
      <alignment horizontal="left" vertical="center"/>
      <protection locked="0"/>
    </xf>
    <xf numFmtId="0" fontId="46" fillId="4" borderId="0" xfId="0" applyFont="1" applyFill="1" applyAlignment="1" applyProtection="1">
      <alignment horizontal="left"/>
      <protection locked="0"/>
    </xf>
    <xf numFmtId="0" fontId="3" fillId="0" borderId="0" xfId="7" applyAlignment="1" applyProtection="1">
      <alignment horizontal="left"/>
      <protection locked="0"/>
    </xf>
    <xf numFmtId="0" fontId="3" fillId="0" borderId="0" xfId="7" applyAlignment="1" applyProtection="1">
      <alignment vertical="top" wrapText="1"/>
      <protection locked="0"/>
    </xf>
    <xf numFmtId="0" fontId="46" fillId="4" borderId="0" xfId="0" applyFont="1" applyFill="1" applyAlignment="1" applyProtection="1">
      <protection locked="0"/>
    </xf>
    <xf numFmtId="49" fontId="40" fillId="0" borderId="0" xfId="7" applyNumberFormat="1" applyFont="1" applyAlignment="1" applyProtection="1">
      <protection locked="0"/>
    </xf>
    <xf numFmtId="0" fontId="3" fillId="0" borderId="0" xfId="7" applyAlignment="1" applyProtection="1">
      <protection locked="0"/>
    </xf>
    <xf numFmtId="40" fontId="3" fillId="0" borderId="0" xfId="7" applyNumberFormat="1" applyAlignment="1" applyProtection="1">
      <alignment vertical="top"/>
      <protection locked="0"/>
    </xf>
    <xf numFmtId="0" fontId="39" fillId="2" borderId="1" xfId="7" applyFont="1" applyFill="1" applyBorder="1" applyAlignment="1" applyProtection="1">
      <alignment horizontal="left"/>
      <protection locked="0"/>
    </xf>
    <xf numFmtId="0" fontId="1" fillId="0" borderId="0" xfId="7" applyFont="1" applyAlignment="1" applyProtection="1">
      <alignment horizontal="left" vertical="top"/>
      <protection locked="0"/>
    </xf>
    <xf numFmtId="39" fontId="53" fillId="0" borderId="1" xfId="10" applyNumberFormat="1" applyFont="1" applyBorder="1"/>
    <xf numFmtId="14" fontId="46" fillId="0" borderId="3" xfId="0" applyNumberFormat="1" applyFont="1" applyBorder="1" applyProtection="1">
      <protection locked="0"/>
    </xf>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6"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50" fillId="4" borderId="3" xfId="0" applyNumberFormat="1" applyFont="1" applyFill="1" applyBorder="1"/>
    <xf numFmtId="0" fontId="0" fillId="0" borderId="0" xfId="0"/>
    <xf numFmtId="0" fontId="0" fillId="0" borderId="0" xfId="0" applyAlignment="1">
      <alignment horizontal="justify" wrapText="1"/>
    </xf>
    <xf numFmtId="0" fontId="0" fillId="0" borderId="3" xfId="0" applyBorder="1" applyProtection="1">
      <protection locked="0"/>
    </xf>
    <xf numFmtId="0" fontId="46" fillId="0" borderId="3" xfId="0" applyFont="1" applyBorder="1" applyProtection="1">
      <protection locked="0"/>
    </xf>
    <xf numFmtId="0" fontId="0" fillId="0" borderId="7" xfId="0" applyBorder="1" applyAlignment="1">
      <alignment horizontal="center"/>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4" fillId="0" borderId="0" xfId="0" applyFont="1" applyAlignment="1">
      <alignment horizontal="left"/>
    </xf>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46" fillId="4" borderId="0" xfId="0" applyFont="1" applyFill="1" applyAlignment="1">
      <alignment wrapText="1"/>
    </xf>
    <xf numFmtId="0" fontId="33" fillId="4" borderId="0" xfId="0" applyFont="1" applyFill="1" applyAlignment="1">
      <alignment horizontal="left" vertical="top" wrapText="1"/>
    </xf>
    <xf numFmtId="0" fontId="46" fillId="4" borderId="0" xfId="0" applyFont="1" applyFill="1"/>
    <xf numFmtId="0" fontId="20" fillId="4" borderId="0" xfId="0" applyFont="1" applyFill="1" applyAlignment="1">
      <alignment vertical="top" wrapText="1"/>
    </xf>
    <xf numFmtId="0" fontId="8" fillId="0" borderId="0" xfId="0" applyFont="1" applyAlignment="1">
      <alignment horizontal="center"/>
    </xf>
    <xf numFmtId="0" fontId="9" fillId="0" borderId="0" xfId="0" applyFont="1" applyAlignment="1">
      <alignment horizontal="center"/>
    </xf>
    <xf numFmtId="0" fontId="0" fillId="0" borderId="0" xfId="0" applyAlignment="1">
      <alignment horizontal="left"/>
    </xf>
    <xf numFmtId="0" fontId="4" fillId="0" borderId="0" xfId="0" applyFont="1"/>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1" fillId="0" borderId="1" xfId="0" applyFont="1" applyBorder="1" applyAlignment="1">
      <alignment horizontal="center" wrapText="1"/>
    </xf>
    <xf numFmtId="6" fontId="21" fillId="0" borderId="1" xfId="0" applyNumberFormat="1" applyFont="1" applyBorder="1" applyAlignment="1">
      <alignment horizontal="center"/>
    </xf>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50" fillId="0" borderId="10" xfId="0" applyNumberFormat="1" applyFont="1" applyBorder="1" applyAlignment="1">
      <alignment horizontal="right"/>
    </xf>
    <xf numFmtId="37" fontId="50" fillId="0" borderId="5" xfId="0" applyNumberFormat="1" applyFont="1" applyBorder="1" applyAlignment="1">
      <alignment horizontal="right"/>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23" fillId="6" borderId="3" xfId="6" applyFont="1" applyFill="1" applyBorder="1" applyProtection="1"/>
    <xf numFmtId="0" fontId="4" fillId="0" borderId="3" xfId="0" applyFont="1" applyBorder="1" applyAlignment="1">
      <alignment horizontal="center"/>
    </xf>
    <xf numFmtId="0" fontId="4"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5" fillId="0" borderId="12" xfId="0" applyFont="1" applyBorder="1" applyAlignment="1">
      <alignment horizontal="center" wrapText="1"/>
    </xf>
    <xf numFmtId="0" fontId="5"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5" fillId="0" borderId="2" xfId="0" applyFont="1" applyBorder="1" applyAlignment="1">
      <alignment horizontal="center" wrapText="1"/>
    </xf>
    <xf numFmtId="0" fontId="5" fillId="0" borderId="0" xfId="0" applyFont="1" applyAlignment="1">
      <alignment horizontal="center" wrapText="1"/>
    </xf>
    <xf numFmtId="0" fontId="5" fillId="0" borderId="14" xfId="0" applyFont="1" applyBorder="1" applyAlignment="1">
      <alignment horizontal="center" wrapText="1"/>
    </xf>
    <xf numFmtId="0" fontId="5" fillId="0" borderId="16" xfId="0" applyFont="1" applyBorder="1" applyAlignment="1">
      <alignment horizontal="center" wrapText="1"/>
    </xf>
    <xf numFmtId="0" fontId="5" fillId="0" borderId="3" xfId="0" applyFont="1" applyBorder="1" applyAlignment="1">
      <alignment horizontal="center" wrapText="1"/>
    </xf>
    <xf numFmtId="0" fontId="5" fillId="0" borderId="17" xfId="0" applyFont="1" applyBorder="1" applyAlignment="1">
      <alignment horizontal="center" wrapText="1"/>
    </xf>
    <xf numFmtId="49" fontId="31" fillId="6" borderId="0" xfId="6" applyNumberFormat="1" applyFont="1" applyFill="1" applyBorder="1" applyAlignment="1" applyProtection="1">
      <alignment horizontal="left" vertical="top" wrapText="1"/>
    </xf>
    <xf numFmtId="0" fontId="5" fillId="0" borderId="7"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37" fontId="50" fillId="0" borderId="10" xfId="0" applyNumberFormat="1" applyFont="1" applyBorder="1" applyAlignment="1">
      <alignment vertical="center"/>
    </xf>
    <xf numFmtId="37" fontId="0" fillId="0" borderId="33" xfId="0" applyNumberFormat="1" applyBorder="1" applyAlignment="1">
      <alignment horizontal="right" vertical="center"/>
    </xf>
    <xf numFmtId="0" fontId="11" fillId="6" borderId="0" xfId="6" applyFont="1" applyFill="1" applyAlignment="1" applyProtection="1">
      <alignment horizontal="left" vertical="center" wrapText="1"/>
    </xf>
    <xf numFmtId="0" fontId="11"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0" fontId="31" fillId="6" borderId="0" xfId="6" applyFont="1" applyFill="1" applyAlignment="1" applyProtection="1">
      <alignment horizontal="center"/>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4" fillId="5" borderId="0" xfId="0" applyNumberFormat="1" applyFont="1" applyFill="1" applyAlignment="1">
      <alignment horizontal="center"/>
    </xf>
    <xf numFmtId="0" fontId="0" fillId="0" borderId="1" xfId="0" applyBorder="1" applyAlignment="1">
      <alignment horizontal="center"/>
    </xf>
    <xf numFmtId="168" fontId="29" fillId="5" borderId="0" xfId="0" applyNumberFormat="1" applyFont="1" applyFill="1" applyAlignment="1">
      <alignment horizontal="left"/>
    </xf>
    <xf numFmtId="168" fontId="29"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0" fillId="5" borderId="14" xfId="0" applyNumberFormat="1" applyFill="1" applyBorder="1" applyAlignment="1">
      <alignment horizontal="left"/>
    </xf>
    <xf numFmtId="0" fontId="29" fillId="0" borderId="3" xfId="10" applyFont="1" applyBorder="1" applyAlignment="1">
      <alignment horizontal="center"/>
    </xf>
    <xf numFmtId="168" fontId="15" fillId="6" borderId="10" xfId="12" applyNumberFormat="1" applyFont="1" applyFill="1" applyBorder="1" applyAlignment="1" applyProtection="1">
      <alignment horizontal="center" wrapText="1"/>
    </xf>
    <xf numFmtId="168" fontId="15" fillId="6" borderId="5" xfId="12" applyNumberFormat="1" applyFont="1" applyFill="1" applyBorder="1" applyAlignment="1" applyProtection="1">
      <alignment horizontal="center" wrapText="1"/>
    </xf>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5" fillId="6" borderId="9" xfId="6" applyFont="1" applyFill="1" applyBorder="1" applyProtection="1"/>
    <xf numFmtId="0" fontId="15" fillId="6" borderId="4" xfId="6" applyFont="1" applyFill="1" applyBorder="1" applyProtection="1"/>
    <xf numFmtId="0" fontId="15"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5" fillId="6" borderId="12" xfId="6" applyFont="1" applyFill="1" applyBorder="1" applyProtection="1"/>
    <xf numFmtId="0" fontId="15" fillId="6" borderId="7" xfId="6" applyFont="1" applyFill="1" applyBorder="1" applyProtection="1"/>
    <xf numFmtId="0" fontId="15" fillId="6" borderId="13" xfId="6" applyFont="1" applyFill="1" applyBorder="1" applyProtection="1"/>
    <xf numFmtId="0" fontId="15" fillId="6" borderId="16" xfId="6" applyFont="1" applyFill="1" applyBorder="1" applyProtection="1"/>
    <xf numFmtId="0" fontId="15" fillId="6" borderId="3" xfId="6" applyFont="1" applyFill="1" applyBorder="1" applyProtection="1"/>
    <xf numFmtId="0" fontId="15"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4" fillId="0" borderId="0" xfId="8" applyNumberFormat="1" applyFont="1" applyAlignment="1">
      <alignment horizontal="left" wrapText="1"/>
    </xf>
    <xf numFmtId="0" fontId="0" fillId="0" borderId="0" xfId="0" quotePrefix="1" applyAlignment="1">
      <alignment horizontal="right" vertical="top"/>
    </xf>
    <xf numFmtId="0" fontId="53" fillId="0" borderId="0" xfId="0" applyFont="1"/>
    <xf numFmtId="0" fontId="53" fillId="0" borderId="0" xfId="0" applyFont="1" applyAlignment="1">
      <alignmen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4" fillId="0" borderId="9" xfId="0" applyFont="1" applyBorder="1" applyAlignment="1">
      <alignment horizontal="left" wrapText="1"/>
    </xf>
    <xf numFmtId="0" fontId="4" fillId="0" borderId="4" xfId="0" applyFont="1" applyBorder="1" applyAlignment="1">
      <alignment horizontal="left" wrapText="1"/>
    </xf>
    <xf numFmtId="0" fontId="4"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11" fillId="5" borderId="12" xfId="6" applyNumberFormat="1" applyFont="1" applyFill="1" applyBorder="1" applyAlignment="1" applyProtection="1">
      <alignment horizontal="center" vertical="center"/>
    </xf>
    <xf numFmtId="168" fontId="11" fillId="5" borderId="13" xfId="6" applyNumberFormat="1" applyFont="1" applyFill="1" applyBorder="1" applyAlignment="1" applyProtection="1">
      <alignment horizontal="center" vertical="center"/>
    </xf>
    <xf numFmtId="168" fontId="11" fillId="5" borderId="2" xfId="6" applyNumberFormat="1" applyFont="1" applyFill="1" applyBorder="1" applyAlignment="1" applyProtection="1">
      <alignment horizontal="center" vertical="center"/>
    </xf>
    <xf numFmtId="168" fontId="11" fillId="5" borderId="14" xfId="6" applyNumberFormat="1" applyFont="1" applyFill="1" applyBorder="1" applyAlignment="1" applyProtection="1">
      <alignment horizontal="center" vertical="center"/>
    </xf>
    <xf numFmtId="168" fontId="11" fillId="5" borderId="16" xfId="6" applyNumberFormat="1" applyFont="1" applyFill="1" applyBorder="1" applyAlignment="1" applyProtection="1">
      <alignment horizontal="center" vertical="center"/>
    </xf>
    <xf numFmtId="168" fontId="11"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1" fillId="0" borderId="13" xfId="6" applyFont="1" applyFill="1" applyBorder="1" applyAlignment="1" applyProtection="1">
      <alignment horizontal="center" vertical="top"/>
    </xf>
    <xf numFmtId="0" fontId="11"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afr24-food%20servi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Digit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Digi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row r="1">
          <cell r="D1" t="str">
            <v>Freedom Academy, Inc</v>
          </cell>
        </row>
      </sheetData>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row r="10">
          <cell r="F10">
            <v>300</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row>
        <row r="10">
          <cell r="E10"/>
        </row>
        <row r="11">
          <cell r="E11"/>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Digital"/>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8979058</v>
          </cell>
        </row>
        <row r="10">
          <cell r="L10">
            <v>4083186</v>
          </cell>
        </row>
        <row r="11">
          <cell r="L11">
            <v>1472208</v>
          </cell>
        </row>
        <row r="12">
          <cell r="L12">
            <v>430165</v>
          </cell>
        </row>
        <row r="13">
          <cell r="L13">
            <v>1254814</v>
          </cell>
        </row>
        <row r="14">
          <cell r="L14">
            <v>13817882</v>
          </cell>
        </row>
        <row r="15">
          <cell r="L15">
            <v>325878</v>
          </cell>
        </row>
        <row r="16">
          <cell r="L16">
            <v>1008</v>
          </cell>
        </row>
        <row r="17">
          <cell r="L17">
            <v>39940</v>
          </cell>
        </row>
        <row r="18">
          <cell r="L18">
            <v>0</v>
          </cell>
        </row>
        <row r="19">
          <cell r="L19">
            <v>0</v>
          </cell>
        </row>
        <row r="20">
          <cell r="L20">
            <v>46589</v>
          </cell>
        </row>
        <row r="21">
          <cell r="L21">
            <v>0</v>
          </cell>
        </row>
        <row r="22">
          <cell r="L22">
            <v>0</v>
          </cell>
        </row>
        <row r="25">
          <cell r="L25">
            <v>316281</v>
          </cell>
        </row>
        <row r="27">
          <cell r="L27">
            <v>184546</v>
          </cell>
        </row>
        <row r="28">
          <cell r="L28">
            <v>75771</v>
          </cell>
        </row>
        <row r="29">
          <cell r="L29">
            <v>0</v>
          </cell>
        </row>
        <row r="30">
          <cell r="L30">
            <v>0</v>
          </cell>
        </row>
        <row r="31">
          <cell r="L31">
            <v>0</v>
          </cell>
        </row>
        <row r="32">
          <cell r="L32">
            <v>0</v>
          </cell>
        </row>
        <row r="33">
          <cell r="L33">
            <v>0</v>
          </cell>
        </row>
        <row r="34">
          <cell r="L34">
            <v>0</v>
          </cell>
        </row>
        <row r="35">
          <cell r="L35">
            <v>0</v>
          </cell>
        </row>
        <row r="36">
          <cell r="L36">
            <v>0</v>
          </cell>
        </row>
        <row r="39">
          <cell r="L39">
            <v>1917</v>
          </cell>
        </row>
        <row r="40">
          <cell r="L40">
            <v>0</v>
          </cell>
        </row>
        <row r="41">
          <cell r="L41">
            <v>0</v>
          </cell>
        </row>
        <row r="42">
          <cell r="L42">
            <v>83465</v>
          </cell>
        </row>
        <row r="44">
          <cell r="L44">
            <v>3278648</v>
          </cell>
        </row>
        <row r="45">
          <cell r="L45">
            <v>4654</v>
          </cell>
        </row>
        <row r="46">
          <cell r="L46">
            <v>0</v>
          </cell>
        </row>
        <row r="47">
          <cell r="L47">
            <v>0</v>
          </cell>
        </row>
        <row r="48">
          <cell r="L48">
            <v>3577760</v>
          </cell>
        </row>
      </sheetData>
      <sheetData sheetId="3">
        <row r="5">
          <cell r="E5"/>
          <cell r="N5">
            <v>576598</v>
          </cell>
        </row>
        <row r="6">
          <cell r="E6"/>
          <cell r="N6"/>
        </row>
        <row r="7">
          <cell r="E7"/>
          <cell r="N7"/>
        </row>
        <row r="8">
          <cell r="E8"/>
          <cell r="N8"/>
        </row>
        <row r="9">
          <cell r="E9"/>
          <cell r="N9"/>
        </row>
        <row r="10">
          <cell r="E10"/>
          <cell r="N10"/>
        </row>
        <row r="11">
          <cell r="E11"/>
          <cell r="N11"/>
        </row>
        <row r="12">
          <cell r="E12">
            <v>376596</v>
          </cell>
        </row>
        <row r="13">
          <cell r="E13"/>
        </row>
        <row r="14">
          <cell r="E14"/>
          <cell r="N14"/>
        </row>
        <row r="15">
          <cell r="E15"/>
        </row>
        <row r="16">
          <cell r="E16"/>
        </row>
        <row r="17">
          <cell r="E17"/>
        </row>
        <row r="18">
          <cell r="E18"/>
        </row>
        <row r="19">
          <cell r="E19"/>
        </row>
        <row r="20">
          <cell r="E20"/>
        </row>
        <row r="21">
          <cell r="E21">
            <v>130715</v>
          </cell>
          <cell r="N21"/>
        </row>
        <row r="22">
          <cell r="N22"/>
        </row>
        <row r="23">
          <cell r="N23"/>
        </row>
        <row r="24">
          <cell r="E24"/>
          <cell r="N24">
            <v>4654</v>
          </cell>
        </row>
        <row r="25">
          <cell r="E25"/>
        </row>
        <row r="26">
          <cell r="E26"/>
        </row>
        <row r="27">
          <cell r="E27"/>
        </row>
        <row r="28">
          <cell r="E28"/>
        </row>
        <row r="29">
          <cell r="E29"/>
        </row>
        <row r="30">
          <cell r="E30"/>
        </row>
        <row r="31">
          <cell r="E31"/>
        </row>
        <row r="32">
          <cell r="E32"/>
        </row>
        <row r="33">
          <cell r="E33"/>
        </row>
        <row r="35">
          <cell r="E35">
            <v>3000000</v>
          </cell>
        </row>
        <row r="40">
          <cell r="E40"/>
        </row>
        <row r="41">
          <cell r="E41"/>
        </row>
        <row r="42">
          <cell r="E42"/>
        </row>
        <row r="43">
          <cell r="E43"/>
        </row>
        <row r="44">
          <cell r="E44"/>
        </row>
        <row r="45">
          <cell r="E45">
            <v>7500000</v>
          </cell>
        </row>
      </sheetData>
      <sheetData sheetId="4">
        <row r="8">
          <cell r="K8">
            <v>3278648</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Digital"/>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7346106</v>
          </cell>
        </row>
        <row r="8">
          <cell r="J8">
            <v>3673150</v>
          </cell>
        </row>
        <row r="10">
          <cell r="J10">
            <v>1484804</v>
          </cell>
        </row>
        <row r="11">
          <cell r="J11">
            <v>448971</v>
          </cell>
        </row>
        <row r="12">
          <cell r="J12">
            <v>1159884</v>
          </cell>
        </row>
        <row r="13">
          <cell r="J13">
            <v>13076549</v>
          </cell>
        </row>
        <row r="14">
          <cell r="J14">
            <v>355570</v>
          </cell>
        </row>
        <row r="15">
          <cell r="J15">
            <v>0</v>
          </cell>
        </row>
        <row r="16">
          <cell r="J16">
            <v>-1389</v>
          </cell>
        </row>
        <row r="17">
          <cell r="J17">
            <v>0</v>
          </cell>
        </row>
        <row r="18">
          <cell r="J18">
            <v>0</v>
          </cell>
        </row>
        <row r="19">
          <cell r="J19">
            <v>52939</v>
          </cell>
        </row>
        <row r="20">
          <cell r="J20">
            <v>0</v>
          </cell>
        </row>
        <row r="21">
          <cell r="J21">
            <v>0</v>
          </cell>
        </row>
        <row r="22">
          <cell r="J22">
            <v>0</v>
          </cell>
        </row>
        <row r="24">
          <cell r="J24">
            <v>368275</v>
          </cell>
        </row>
        <row r="26">
          <cell r="J26">
            <v>167083</v>
          </cell>
        </row>
        <row r="28">
          <cell r="J28">
            <v>41135</v>
          </cell>
        </row>
        <row r="29">
          <cell r="J29">
            <v>0</v>
          </cell>
        </row>
        <row r="30">
          <cell r="J30">
            <v>53</v>
          </cell>
        </row>
        <row r="31">
          <cell r="J31">
            <v>78</v>
          </cell>
        </row>
        <row r="32">
          <cell r="J32">
            <v>0</v>
          </cell>
        </row>
        <row r="33">
          <cell r="J33">
            <v>0</v>
          </cell>
        </row>
        <row r="34">
          <cell r="J34">
            <v>0</v>
          </cell>
        </row>
        <row r="35">
          <cell r="J35">
            <v>0</v>
          </cell>
        </row>
        <row r="36">
          <cell r="J36">
            <v>0</v>
          </cell>
        </row>
        <row r="38">
          <cell r="J38">
            <v>6727</v>
          </cell>
        </row>
        <row r="39">
          <cell r="J39">
            <v>0</v>
          </cell>
        </row>
        <row r="40">
          <cell r="J40">
            <v>0</v>
          </cell>
        </row>
        <row r="41">
          <cell r="J41">
            <v>53712</v>
          </cell>
        </row>
        <row r="43">
          <cell r="J43">
            <v>3062377</v>
          </cell>
        </row>
        <row r="44">
          <cell r="J44">
            <v>318155</v>
          </cell>
        </row>
        <row r="45">
          <cell r="J45">
            <v>0</v>
          </cell>
        </row>
        <row r="46">
          <cell r="J46">
            <v>0</v>
          </cell>
        </row>
        <row r="47">
          <cell r="J47">
            <v>4455954</v>
          </cell>
        </row>
      </sheetData>
      <sheetData sheetId="3"/>
      <sheetData sheetId="4">
        <row r="19">
          <cell r="F19">
            <v>0</v>
          </cell>
        </row>
      </sheetData>
      <sheetData sheetId="5">
        <row r="26">
          <cell r="O26">
            <v>0</v>
          </cell>
        </row>
        <row r="48">
          <cell r="O48">
            <v>0</v>
          </cell>
        </row>
      </sheetData>
      <sheetData sheetId="6">
        <row r="6">
          <cell r="F6">
            <v>10108566</v>
          </cell>
        </row>
        <row r="29">
          <cell r="T29">
            <v>57147</v>
          </cell>
        </row>
      </sheetData>
      <sheetData sheetId="7"/>
      <sheetData sheetId="8">
        <row r="6">
          <cell r="M6">
            <v>0</v>
          </cell>
        </row>
        <row r="7">
          <cell r="M7">
            <v>0</v>
          </cell>
        </row>
        <row r="8">
          <cell r="M8">
            <v>0</v>
          </cell>
        </row>
        <row r="9">
          <cell r="M9">
            <v>0</v>
          </cell>
        </row>
        <row r="10">
          <cell r="M10">
            <v>0</v>
          </cell>
        </row>
        <row r="11">
          <cell r="M11">
            <v>0</v>
          </cell>
        </row>
        <row r="12">
          <cell r="M12">
            <v>0</v>
          </cell>
        </row>
        <row r="13">
          <cell r="M13">
            <v>1</v>
          </cell>
        </row>
        <row r="14">
          <cell r="M14">
            <v>0</v>
          </cell>
        </row>
        <row r="15">
          <cell r="M15">
            <v>0</v>
          </cell>
        </row>
        <row r="16">
          <cell r="M16">
            <v>0</v>
          </cell>
        </row>
        <row r="17">
          <cell r="M17">
            <v>0</v>
          </cell>
        </row>
        <row r="18">
          <cell r="M18">
            <v>0</v>
          </cell>
        </row>
        <row r="19">
          <cell r="M19">
            <v>0</v>
          </cell>
        </row>
        <row r="20">
          <cell r="M20">
            <v>0</v>
          </cell>
        </row>
        <row r="21">
          <cell r="M21">
            <v>0</v>
          </cell>
        </row>
        <row r="22">
          <cell r="M22">
            <v>491410</v>
          </cell>
        </row>
        <row r="25">
          <cell r="M25">
            <v>1602869</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300</v>
          </cell>
        </row>
      </sheetData>
      <sheetData sheetId="9"/>
      <sheetData sheetId="10"/>
      <sheetData sheetId="11">
        <row r="17">
          <cell r="K17">
            <v>9765526</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netolic@asu.edu" TargetMode="External"/><Relationship Id="rId1" Type="http://schemas.openxmlformats.org/officeDocument/2006/relationships/hyperlink" Target="mailto:Jrogier@asu.ed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K5" sqref="K5"/>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21" t="s">
        <v>0</v>
      </c>
      <c r="B1" s="721"/>
      <c r="C1" s="721"/>
      <c r="D1" s="709" t="s">
        <v>1235</v>
      </c>
      <c r="E1" s="710"/>
      <c r="F1" s="710"/>
      <c r="G1" s="710"/>
      <c r="H1" s="710"/>
      <c r="I1" s="710"/>
      <c r="L1" s="625" t="s">
        <v>1</v>
      </c>
      <c r="M1" s="716" t="s">
        <v>1236</v>
      </c>
      <c r="N1" s="710"/>
      <c r="Q1" s="59" t="s">
        <v>2</v>
      </c>
      <c r="R1" s="591" t="s">
        <v>1237</v>
      </c>
      <c r="AA1" s="597" t="s">
        <v>3</v>
      </c>
      <c r="AB1" s="105">
        <v>45519</v>
      </c>
    </row>
    <row r="2" spans="1:28" ht="12.75" customHeight="1" x14ac:dyDescent="0.2">
      <c r="A2" s="106"/>
      <c r="B2" s="106"/>
      <c r="C2" s="106"/>
      <c r="D2" s="717" t="s">
        <v>4</v>
      </c>
      <c r="E2" s="717"/>
      <c r="F2" s="717"/>
      <c r="G2" s="717"/>
      <c r="H2" s="717"/>
      <c r="I2" s="717"/>
      <c r="L2" s="726"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27"/>
      <c r="N2" s="727"/>
      <c r="O2" s="727"/>
      <c r="P2" s="727"/>
      <c r="Q2" s="727"/>
      <c r="R2" s="727"/>
    </row>
    <row r="3" spans="1:28" ht="12.75" customHeight="1" x14ac:dyDescent="0.25">
      <c r="A3" s="106"/>
      <c r="B3" s="106"/>
      <c r="C3" s="106"/>
      <c r="D3" s="709"/>
      <c r="E3" s="710"/>
      <c r="F3" s="710"/>
      <c r="G3" s="710"/>
      <c r="H3" s="710"/>
      <c r="I3" s="710"/>
      <c r="L3" s="727"/>
      <c r="M3" s="727"/>
      <c r="N3" s="727"/>
      <c r="O3" s="727"/>
      <c r="P3" s="727"/>
      <c r="Q3" s="727"/>
      <c r="R3" s="727"/>
    </row>
    <row r="4" spans="1:28" ht="12.75" customHeight="1" x14ac:dyDescent="0.2">
      <c r="A4" s="106"/>
      <c r="B4" s="106"/>
      <c r="C4" s="106"/>
      <c r="D4" s="717" t="s">
        <v>5</v>
      </c>
      <c r="E4" s="717"/>
      <c r="F4" s="717"/>
      <c r="G4" s="717"/>
      <c r="H4" s="717"/>
      <c r="I4" s="717"/>
      <c r="L4" s="724" t="str">
        <f>IF(L2="","",CONCATENATE(Alerts!B3,CHAR(10),Alerts!B4,CHAR(10),Alerts!B5,CHAR(10),Alerts!B6,CHAR(10),Alerts!B7,CHAR(10),Alerts!B8,CHAR(10),Alerts!B9,CHAR(10),Alerts!B10,CHAR(10),Alerts!B11,CHAR(10),Alerts!B12,CHAR(10),Alerts!B13,CHAR(10),Alerts!B14,CHAR(10),Alerts!B15,CHAR(10),Alerts!B16))</f>
        <v/>
      </c>
      <c r="M4" s="725"/>
      <c r="N4" s="725"/>
      <c r="O4" s="725"/>
      <c r="P4" s="725"/>
      <c r="Q4" s="725"/>
      <c r="R4" s="725"/>
    </row>
    <row r="5" spans="1:28" ht="12.75" customHeight="1" x14ac:dyDescent="0.2">
      <c r="A5" s="106"/>
      <c r="B5" s="106"/>
      <c r="C5" s="106"/>
      <c r="L5" s="725"/>
      <c r="M5" s="725"/>
      <c r="N5" s="725"/>
      <c r="O5" s="725"/>
      <c r="P5" s="725"/>
      <c r="Q5" s="725"/>
      <c r="R5" s="725"/>
    </row>
    <row r="6" spans="1:28" ht="18.75" x14ac:dyDescent="0.3">
      <c r="A6" s="67"/>
      <c r="B6" s="728" t="s">
        <v>1173</v>
      </c>
      <c r="C6" s="728"/>
      <c r="D6" s="728"/>
      <c r="E6" s="728"/>
      <c r="F6" s="728"/>
      <c r="G6" s="728"/>
      <c r="H6" s="728"/>
      <c r="I6" s="728"/>
      <c r="J6" s="81"/>
      <c r="L6" s="725"/>
      <c r="M6" s="725"/>
      <c r="N6" s="725"/>
      <c r="O6" s="725"/>
      <c r="P6" s="725"/>
      <c r="Q6" s="725"/>
      <c r="R6" s="725"/>
    </row>
    <row r="7" spans="1:28" ht="18" customHeight="1" x14ac:dyDescent="0.3">
      <c r="A7" s="67"/>
      <c r="B7" s="728" t="s">
        <v>6</v>
      </c>
      <c r="C7" s="728"/>
      <c r="D7" s="728"/>
      <c r="E7" s="728"/>
      <c r="F7" s="728"/>
      <c r="G7" s="728"/>
      <c r="H7" s="728"/>
      <c r="I7" s="728"/>
      <c r="J7" s="77"/>
      <c r="L7" s="725"/>
      <c r="M7" s="725"/>
      <c r="N7" s="725"/>
      <c r="O7" s="725"/>
      <c r="P7" s="725"/>
      <c r="Q7" s="725"/>
      <c r="R7" s="725"/>
    </row>
    <row r="8" spans="1:28" ht="18" customHeight="1" x14ac:dyDescent="0.25">
      <c r="A8" s="67"/>
      <c r="B8" s="729" t="s">
        <v>7</v>
      </c>
      <c r="C8" s="729"/>
      <c r="D8" s="729"/>
      <c r="E8" s="729"/>
      <c r="F8" s="729"/>
      <c r="G8" s="729"/>
      <c r="H8" s="729"/>
      <c r="I8" s="729"/>
      <c r="J8" s="81"/>
      <c r="L8" s="725"/>
      <c r="M8" s="725"/>
      <c r="N8" s="725"/>
      <c r="O8" s="725"/>
      <c r="P8" s="725"/>
      <c r="Q8" s="725"/>
      <c r="R8" s="725"/>
    </row>
    <row r="9" spans="1:28" ht="12.75" customHeight="1" x14ac:dyDescent="0.2">
      <c r="C9" s="107"/>
      <c r="D9" s="107"/>
      <c r="E9" s="107"/>
      <c r="F9" s="107"/>
      <c r="G9" s="107"/>
      <c r="H9" s="107"/>
      <c r="I9" s="107"/>
      <c r="J9" s="108"/>
      <c r="L9" s="725"/>
      <c r="M9" s="725"/>
      <c r="N9" s="725"/>
      <c r="O9" s="725"/>
      <c r="P9" s="724"/>
      <c r="Q9" s="725"/>
      <c r="R9" s="725"/>
    </row>
    <row r="10" spans="1:28" ht="26.25" customHeight="1" x14ac:dyDescent="0.25">
      <c r="A10" s="23"/>
      <c r="B10" s="722" t="str">
        <f>IF('Page 2'!N9="","","Checking the box to the left certifies the Charter did not incur any expenses for student support services, as defined in the USFRCS and reported on Page 2, Line 2, during the fiscal year.")</f>
        <v/>
      </c>
      <c r="C10" s="722"/>
      <c r="D10" s="722"/>
      <c r="E10" s="722"/>
      <c r="F10" s="722"/>
      <c r="G10" s="722"/>
      <c r="H10" s="722"/>
      <c r="I10" s="722"/>
      <c r="J10" s="723"/>
      <c r="L10" s="725"/>
      <c r="M10" s="725"/>
      <c r="N10" s="725"/>
      <c r="O10" s="725"/>
      <c r="P10" s="725"/>
      <c r="Q10" s="725"/>
      <c r="R10" s="725"/>
    </row>
    <row r="11" spans="1:28" x14ac:dyDescent="0.2">
      <c r="A11" s="109"/>
      <c r="B11" s="107"/>
      <c r="C11" s="107"/>
      <c r="D11" s="107"/>
      <c r="E11" s="107"/>
      <c r="F11" s="107"/>
      <c r="G11" s="107"/>
      <c r="H11" s="107"/>
      <c r="I11" s="107"/>
      <c r="J11" s="108"/>
      <c r="L11" s="725"/>
      <c r="M11" s="725"/>
      <c r="N11" s="725"/>
      <c r="O11" s="725"/>
      <c r="P11" s="725"/>
      <c r="Q11" s="725"/>
      <c r="R11" s="725"/>
    </row>
    <row r="12" spans="1:28" ht="25.5" customHeight="1" x14ac:dyDescent="0.25">
      <c r="A12" s="23"/>
      <c r="B12" s="722" t="str">
        <f>IF('Page 2'!N10="","","Checking the box to the left certifies the Charter did not incur any expenses for instructional support services, as defined in the USFRCS and reported on Page 2, Line 3, during the fiscal year.")</f>
        <v/>
      </c>
      <c r="C12" s="722"/>
      <c r="D12" s="722"/>
      <c r="E12" s="722"/>
      <c r="F12" s="722"/>
      <c r="G12" s="722"/>
      <c r="H12" s="722"/>
      <c r="I12" s="722"/>
      <c r="J12" s="723"/>
      <c r="K12" s="64"/>
      <c r="L12" s="725"/>
      <c r="M12" s="725"/>
      <c r="N12" s="725"/>
      <c r="O12" s="725"/>
      <c r="P12" s="725"/>
      <c r="Q12" s="725"/>
      <c r="R12" s="725"/>
    </row>
    <row r="13" spans="1:28" x14ac:dyDescent="0.2">
      <c r="A13" s="109"/>
      <c r="C13" s="107"/>
      <c r="D13" s="107"/>
      <c r="E13" s="107"/>
      <c r="F13" s="107"/>
      <c r="G13" s="107"/>
      <c r="H13" s="107"/>
      <c r="I13" s="107"/>
      <c r="J13" s="108"/>
      <c r="L13" s="725"/>
      <c r="M13" s="725"/>
      <c r="N13" s="725"/>
      <c r="O13" s="725"/>
      <c r="P13" s="725"/>
      <c r="Q13" s="725"/>
      <c r="R13" s="725"/>
    </row>
    <row r="14" spans="1:28" ht="25.5" customHeight="1" x14ac:dyDescent="0.25">
      <c r="A14" s="23"/>
      <c r="B14" s="719" t="str">
        <f>IF('Page 3'!M12="","","Checking the box to the left certifies the Charter did not incur any expenses for Classroom Site Project, as reported on Page 3, during the fiscal year.")</f>
        <v/>
      </c>
      <c r="C14" s="719"/>
      <c r="D14" s="719"/>
      <c r="E14" s="719"/>
      <c r="F14" s="719"/>
      <c r="G14" s="719"/>
      <c r="H14" s="719"/>
      <c r="I14" s="719"/>
      <c r="J14" s="720"/>
      <c r="L14" s="725"/>
      <c r="M14" s="725"/>
      <c r="N14" s="725"/>
      <c r="O14" s="725"/>
      <c r="P14" s="725"/>
      <c r="Q14" s="725"/>
      <c r="R14" s="725"/>
    </row>
    <row r="15" spans="1:28" x14ac:dyDescent="0.2">
      <c r="A15" s="109"/>
      <c r="C15" s="107"/>
      <c r="D15" s="107"/>
      <c r="E15" s="107"/>
      <c r="F15" s="107"/>
      <c r="G15" s="107"/>
      <c r="H15" s="107"/>
      <c r="I15" s="107"/>
      <c r="J15" s="108"/>
      <c r="L15" s="725"/>
      <c r="M15" s="725"/>
      <c r="N15" s="725"/>
      <c r="O15" s="725"/>
      <c r="P15" s="725"/>
      <c r="Q15" s="725"/>
      <c r="R15" s="725"/>
    </row>
    <row r="16" spans="1:28" ht="39.75" customHeight="1" x14ac:dyDescent="0.25">
      <c r="A16" s="23"/>
      <c r="B16" s="722" t="str">
        <f>IF('Page 6'!H33="","","Checking the box to the left certifies the Charter did not incur any current expenses for student support services, as defined in the USFRCS and reported on Page 6-Section E-Line 4, during the fiscal year.")</f>
        <v/>
      </c>
      <c r="C16" s="722"/>
      <c r="D16" s="722"/>
      <c r="E16" s="722"/>
      <c r="F16" s="722"/>
      <c r="G16" s="722"/>
      <c r="H16" s="722"/>
      <c r="I16" s="722"/>
      <c r="J16" s="723"/>
      <c r="L16" s="725"/>
      <c r="M16" s="725"/>
      <c r="N16" s="725"/>
      <c r="O16" s="725"/>
      <c r="P16" s="725"/>
      <c r="Q16" s="725"/>
      <c r="R16" s="725"/>
    </row>
    <row r="17" spans="1:26" x14ac:dyDescent="0.2">
      <c r="A17" s="109"/>
      <c r="C17" s="107"/>
      <c r="D17" s="107"/>
      <c r="E17" s="107"/>
      <c r="F17" s="107"/>
      <c r="G17" s="107"/>
      <c r="H17" s="107"/>
      <c r="I17" s="107"/>
      <c r="J17" s="108"/>
      <c r="L17" s="725"/>
      <c r="M17" s="725"/>
      <c r="N17" s="725"/>
      <c r="O17" s="725"/>
      <c r="P17" s="725"/>
      <c r="Q17" s="725"/>
      <c r="R17" s="725"/>
    </row>
    <row r="18" spans="1:26" ht="48" customHeight="1" x14ac:dyDescent="0.25">
      <c r="A18" s="23"/>
      <c r="B18" s="722" t="str">
        <f>IF('Page 4'!K10="","","Checking the box to the left certifies the Charter did not incur any expenses for Instructional Improvement Project, as defined in the USFRCS and reported on Page 4, Line 5, during the fiscal year.")</f>
        <v/>
      </c>
      <c r="C18" s="722"/>
      <c r="D18" s="722"/>
      <c r="E18" s="722"/>
      <c r="F18" s="722"/>
      <c r="G18" s="722"/>
      <c r="H18" s="722"/>
      <c r="I18" s="722"/>
      <c r="J18" s="723"/>
      <c r="L18" s="725"/>
      <c r="M18" s="725"/>
      <c r="N18" s="725"/>
      <c r="O18" s="725"/>
      <c r="P18" s="725"/>
      <c r="Q18" s="725"/>
      <c r="R18" s="725"/>
      <c r="S18" s="615"/>
      <c r="T18" s="615"/>
    </row>
    <row r="19" spans="1:26" ht="12.75" customHeight="1" thickBot="1" x14ac:dyDescent="0.25">
      <c r="B19" s="706" t="s">
        <v>1174</v>
      </c>
      <c r="C19" s="706"/>
      <c r="D19" s="706"/>
      <c r="E19" s="706"/>
      <c r="F19" s="706"/>
      <c r="G19" s="706"/>
      <c r="H19" s="706"/>
      <c r="I19" s="706"/>
      <c r="J19" s="81"/>
      <c r="L19" s="713" t="s">
        <v>1175</v>
      </c>
      <c r="M19" s="713"/>
      <c r="N19" s="713"/>
      <c r="O19" s="713"/>
      <c r="P19" s="713"/>
      <c r="Q19" s="713"/>
      <c r="R19" s="713"/>
      <c r="S19" s="615"/>
      <c r="T19" s="615"/>
    </row>
    <row r="20" spans="1:26" ht="25.5" customHeight="1" thickBot="1" x14ac:dyDescent="0.3">
      <c r="B20" s="706"/>
      <c r="C20" s="706"/>
      <c r="D20" s="706"/>
      <c r="E20" s="706"/>
      <c r="F20" s="706"/>
      <c r="G20" s="706"/>
      <c r="H20" s="706"/>
      <c r="I20" s="706"/>
      <c r="J20" s="81"/>
      <c r="L20" t="s">
        <v>8</v>
      </c>
      <c r="N20" s="705">
        <v>45580</v>
      </c>
      <c r="O20" s="714" t="s">
        <v>9</v>
      </c>
      <c r="P20" s="714"/>
      <c r="Q20" s="714"/>
      <c r="R20" s="714"/>
      <c r="T20" s="706" t="str">
        <f>IF(Z20="X","","Charters schools must review the FY 2024 AFR Formula Corrections file and make any required formula corrections before finalizing and submitting the AFR. Select the X in the dropdown box in cell Z20 once this step is complete.")</f>
        <v>Charters schools must review the FY 2024 AFR Formula Corrections file and make any required formula corrections before finalizing and submitting the AFR. Select the X in the dropdown box in cell Z20 once this step is complete.</v>
      </c>
      <c r="U20" s="706"/>
      <c r="V20" s="706"/>
      <c r="W20" s="706"/>
      <c r="X20" s="706"/>
      <c r="Z20" s="30"/>
    </row>
    <row r="21" spans="1:26" ht="12.75" customHeight="1" x14ac:dyDescent="0.2">
      <c r="A21" s="713"/>
      <c r="B21" s="713"/>
      <c r="C21" s="713"/>
      <c r="D21" s="713"/>
      <c r="E21" s="713"/>
      <c r="F21" s="615"/>
      <c r="G21" s="718"/>
      <c r="H21" s="718"/>
      <c r="I21" s="718"/>
      <c r="J21" s="81"/>
      <c r="L21" s="713" t="s">
        <v>10</v>
      </c>
      <c r="M21" s="713"/>
      <c r="N21" s="713"/>
      <c r="O21" s="110"/>
      <c r="P21" s="110"/>
      <c r="Q21" s="110"/>
      <c r="R21" s="110"/>
      <c r="T21" s="706"/>
      <c r="U21" s="706"/>
      <c r="V21" s="706"/>
      <c r="W21" s="706"/>
      <c r="X21" s="706"/>
    </row>
    <row r="22" spans="1:26" ht="13.5" customHeight="1" x14ac:dyDescent="0.25">
      <c r="A22" s="707"/>
      <c r="B22" s="707"/>
      <c r="C22" s="707"/>
      <c r="D22" s="707"/>
      <c r="E22" s="707"/>
      <c r="F22" s="615"/>
      <c r="G22" s="716" t="s">
        <v>1238</v>
      </c>
      <c r="H22" s="710"/>
      <c r="I22" s="710"/>
      <c r="J22" s="81"/>
      <c r="M22" s="110"/>
      <c r="N22" s="110"/>
      <c r="O22" s="110"/>
      <c r="P22" s="110"/>
      <c r="Q22" s="110"/>
      <c r="R22" s="110"/>
      <c r="T22" s="706"/>
      <c r="U22" s="706"/>
      <c r="V22" s="706"/>
      <c r="W22" s="706"/>
      <c r="X22" s="706"/>
    </row>
    <row r="23" spans="1:26" ht="12.75" customHeight="1" x14ac:dyDescent="0.25">
      <c r="H23" s="615"/>
      <c r="I23" s="615"/>
      <c r="J23" s="77"/>
      <c r="L23" s="707"/>
      <c r="M23" s="707"/>
      <c r="N23" s="707"/>
      <c r="P23" s="709" t="s">
        <v>1338</v>
      </c>
      <c r="Q23" s="710"/>
      <c r="R23" s="710"/>
      <c r="T23" s="706"/>
      <c r="U23" s="706"/>
      <c r="V23" s="706"/>
      <c r="W23" s="706"/>
      <c r="X23" s="706"/>
    </row>
    <row r="24" spans="1:26" ht="14.25" customHeight="1" x14ac:dyDescent="0.25">
      <c r="A24" s="707"/>
      <c r="B24" s="707"/>
      <c r="C24" s="707"/>
      <c r="D24" s="707"/>
      <c r="E24" s="707"/>
      <c r="F24" s="615"/>
      <c r="G24" s="716" t="s">
        <v>1239</v>
      </c>
      <c r="H24" s="710"/>
      <c r="I24" s="710"/>
      <c r="J24" s="77"/>
      <c r="L24" s="708" t="s">
        <v>11</v>
      </c>
      <c r="M24" s="708"/>
      <c r="N24" s="708"/>
      <c r="P24" s="708" t="s">
        <v>12</v>
      </c>
      <c r="Q24" s="708"/>
      <c r="R24" s="708"/>
    </row>
    <row r="25" spans="1:26" ht="12.75" customHeight="1" x14ac:dyDescent="0.25">
      <c r="J25" s="77"/>
      <c r="L25" s="709" t="s">
        <v>1337</v>
      </c>
      <c r="M25" s="715"/>
      <c r="N25" s="715"/>
    </row>
    <row r="26" spans="1:26" ht="14.25" customHeight="1" x14ac:dyDescent="0.25">
      <c r="A26" s="707"/>
      <c r="B26" s="707"/>
      <c r="C26" s="707"/>
      <c r="D26" s="707"/>
      <c r="E26" s="707"/>
      <c r="F26" s="615"/>
      <c r="G26" s="716" t="s">
        <v>1240</v>
      </c>
      <c r="H26" s="710"/>
      <c r="I26" s="710"/>
      <c r="J26" s="77"/>
      <c r="L26" s="708" t="s">
        <v>13</v>
      </c>
      <c r="M26" s="708"/>
      <c r="N26" s="708"/>
    </row>
    <row r="27" spans="1:26" ht="12.75" customHeight="1" x14ac:dyDescent="0.2">
      <c r="J27" s="77"/>
      <c r="L27" s="713"/>
      <c r="M27" s="713"/>
      <c r="N27" s="713"/>
      <c r="O27" s="111"/>
      <c r="P27" s="711"/>
      <c r="Q27" s="711"/>
      <c r="R27" s="711"/>
    </row>
    <row r="28" spans="1:26" ht="12.75" customHeight="1" x14ac:dyDescent="0.25">
      <c r="A28" s="707"/>
      <c r="B28" s="707"/>
      <c r="C28" s="707"/>
      <c r="D28" s="707"/>
      <c r="E28" s="707"/>
      <c r="F28" s="615"/>
      <c r="G28" s="716" t="s">
        <v>1241</v>
      </c>
      <c r="H28" s="710"/>
      <c r="I28" s="710"/>
      <c r="J28" s="77"/>
      <c r="L28" s="707"/>
      <c r="M28" s="707"/>
      <c r="N28" s="707"/>
      <c r="P28" s="709" t="s">
        <v>1336</v>
      </c>
      <c r="Q28" s="710"/>
      <c r="R28" s="710"/>
    </row>
    <row r="29" spans="1:26" ht="14.25" customHeight="1" x14ac:dyDescent="0.2">
      <c r="D29" s="615"/>
      <c r="E29" s="615"/>
      <c r="F29" s="615"/>
      <c r="G29" s="615"/>
      <c r="J29" s="77"/>
      <c r="L29" s="708" t="s">
        <v>11</v>
      </c>
      <c r="M29" s="708"/>
      <c r="N29" s="708"/>
      <c r="P29" s="708" t="s">
        <v>12</v>
      </c>
      <c r="Q29" s="708"/>
      <c r="R29" s="708"/>
    </row>
    <row r="30" spans="1:26" ht="12.75" customHeight="1" x14ac:dyDescent="0.25">
      <c r="A30" s="707"/>
      <c r="B30" s="707"/>
      <c r="C30" s="707"/>
      <c r="D30" s="707"/>
      <c r="E30" s="707"/>
      <c r="F30" s="615"/>
      <c r="G30" s="716" t="s">
        <v>1242</v>
      </c>
      <c r="H30" s="710"/>
      <c r="I30" s="710"/>
      <c r="K30" s="88"/>
      <c r="L30" s="709" t="s">
        <v>1335</v>
      </c>
      <c r="M30" s="715"/>
      <c r="N30" s="715"/>
    </row>
    <row r="31" spans="1:26" ht="30.75" customHeight="1" x14ac:dyDescent="0.25">
      <c r="A31" s="707"/>
      <c r="B31" s="707"/>
      <c r="C31" s="707"/>
      <c r="D31" s="707"/>
      <c r="E31" s="707"/>
      <c r="F31" s="615"/>
      <c r="G31" s="716"/>
      <c r="H31" s="710"/>
      <c r="I31" s="710"/>
      <c r="J31" s="77"/>
      <c r="K31" s="88"/>
      <c r="L31" s="708" t="s">
        <v>13</v>
      </c>
      <c r="M31" s="708"/>
      <c r="N31" s="708"/>
    </row>
    <row r="32" spans="1:26" ht="12.75" customHeight="1" x14ac:dyDescent="0.2">
      <c r="J32" s="77"/>
      <c r="K32" s="70"/>
      <c r="L32" s="71" t="s">
        <v>14</v>
      </c>
      <c r="M32" s="71"/>
      <c r="N32" s="71"/>
      <c r="O32" s="71"/>
      <c r="P32" s="71"/>
      <c r="Q32" s="71"/>
      <c r="R32" s="71"/>
    </row>
    <row r="33" spans="1:18" ht="12.75" customHeight="1" x14ac:dyDescent="0.25">
      <c r="A33" s="707"/>
      <c r="B33" s="707"/>
      <c r="C33" s="707"/>
      <c r="D33" s="707"/>
      <c r="E33" s="707"/>
      <c r="F33" s="615"/>
      <c r="G33" s="709"/>
      <c r="H33" s="710"/>
      <c r="I33" s="710"/>
      <c r="J33" s="77"/>
      <c r="L33" t="s">
        <v>15</v>
      </c>
      <c r="P33" s="3" t="s">
        <v>16</v>
      </c>
      <c r="Q33" s="712">
        <f>TotExpSchoolwide</f>
        <v>30671350</v>
      </c>
      <c r="R33" s="712"/>
    </row>
    <row r="34" spans="1:18" ht="12.75" customHeight="1" x14ac:dyDescent="0.2">
      <c r="A34" s="717" t="s">
        <v>17</v>
      </c>
      <c r="B34" s="717"/>
      <c r="C34" s="717"/>
      <c r="D34" s="717"/>
      <c r="E34" s="717"/>
      <c r="F34" s="615"/>
      <c r="G34" s="717" t="s">
        <v>18</v>
      </c>
      <c r="H34" s="717"/>
      <c r="I34" s="717"/>
      <c r="J34" s="77"/>
      <c r="L34" t="s">
        <v>19</v>
      </c>
      <c r="P34" s="3" t="s">
        <v>16</v>
      </c>
      <c r="Q34" s="712">
        <f>SP1000ClassSiteProj</f>
        <v>3354923</v>
      </c>
      <c r="R34" s="712"/>
    </row>
    <row r="35" spans="1:18" ht="12.75" customHeight="1" x14ac:dyDescent="0.2">
      <c r="J35" s="77"/>
    </row>
    <row r="36" spans="1:18" ht="12.75" customHeight="1" x14ac:dyDescent="0.2"/>
  </sheetData>
  <sheetProtection formatCells="0" formatColumns="0" formatRows="0"/>
  <mergeCells count="55">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5178A3B5-BA4A-4BC4-8DBE-61CA15A309A5}"/>
    <hyperlink ref="P28" r:id="rId2" xr:uid="{D08E918B-B61D-4236-B9F4-434588BD81D5}"/>
  </hyperlinks>
  <pageMargins left="0.75" right="0.25" top="0.25" bottom="0.25" header="0.5" footer="0.15"/>
  <pageSetup paperSize="5" scale="97" orientation="landscape" r:id="rId3"/>
  <headerFooter>
    <oddFooter>&amp;LRev. 8/24 Arizona Department of Education and Auditor General&amp;CFY 2024</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topLeftCell="A19" zoomScaleNormal="100" workbookViewId="0">
      <selection activeCell="K59" sqref="K59:K60"/>
    </sheetView>
  </sheetViews>
  <sheetFormatPr defaultColWidth="9.33203125" defaultRowHeight="12.75" customHeight="1" x14ac:dyDescent="0.2"/>
  <cols>
    <col min="1" max="1" width="19.83203125" style="156" customWidth="1"/>
    <col min="2" max="2" width="42.83203125" style="156" customWidth="1"/>
    <col min="3" max="3" width="3" style="156" customWidth="1"/>
    <col min="4" max="6" width="16.83203125" style="156" customWidth="1"/>
    <col min="7" max="7" width="18.6640625" style="156" customWidth="1"/>
    <col min="8" max="10" width="17.83203125" style="159" customWidth="1"/>
    <col min="11" max="11" width="16.83203125" style="159" customWidth="1"/>
    <col min="12" max="12" width="3" style="156" customWidth="1"/>
    <col min="13" max="13" width="10.83203125" style="156" customWidth="1"/>
    <col min="14" max="14" width="9.33203125" style="156" customWidth="1"/>
    <col min="15" max="15" width="2.33203125" style="156" customWidth="1"/>
    <col min="16" max="16" width="9.33203125" style="156" customWidth="1"/>
    <col min="17" max="25" width="9.33203125" style="156" hidden="1" customWidth="1"/>
    <col min="26" max="29" width="9.33203125" style="156" customWidth="1"/>
    <col min="30" max="16384" width="9.33203125" style="156"/>
  </cols>
  <sheetData>
    <row r="1" spans="1:29" ht="12" customHeight="1" x14ac:dyDescent="0.2">
      <c r="A1" s="616" t="s">
        <v>0</v>
      </c>
      <c r="B1" s="618" t="str">
        <f>'Cover Page'!D1</f>
        <v>ASU Preparatory Academy - Digital</v>
      </c>
      <c r="C1" s="615"/>
      <c r="D1"/>
      <c r="E1" s="59" t="s">
        <v>1</v>
      </c>
      <c r="F1" s="735" t="str">
        <f>'Cover Page'!M1</f>
        <v>Maricopa</v>
      </c>
      <c r="G1" s="735"/>
      <c r="H1"/>
      <c r="I1" s="59"/>
      <c r="J1" s="59" t="s">
        <v>2</v>
      </c>
      <c r="K1" s="617" t="str">
        <f>'Cover Page'!R1</f>
        <v>078284000</v>
      </c>
      <c r="L1" s="269"/>
      <c r="M1" s="615"/>
      <c r="N1" s="632"/>
      <c r="O1" s="632"/>
    </row>
    <row r="2" spans="1:29" ht="12" customHeight="1" x14ac:dyDescent="0.2">
      <c r="A2" s="59"/>
      <c r="B2" s="59"/>
      <c r="C2" s="616"/>
      <c r="D2" s="615"/>
      <c r="E2"/>
      <c r="F2"/>
      <c r="G2"/>
      <c r="H2" s="59"/>
      <c r="I2" s="615"/>
      <c r="J2" s="615"/>
      <c r="K2" s="615"/>
      <c r="L2"/>
      <c r="M2" s="615"/>
      <c r="N2" s="632"/>
      <c r="O2" s="632"/>
    </row>
    <row r="3" spans="1:29" ht="12" customHeight="1" x14ac:dyDescent="0.2">
      <c r="A3" s="270"/>
      <c r="B3" s="270"/>
      <c r="C3" s="270"/>
      <c r="D3" s="270"/>
      <c r="E3" s="270"/>
      <c r="F3" s="270"/>
      <c r="G3" s="270"/>
      <c r="H3" s="270"/>
      <c r="I3" s="270"/>
      <c r="J3" s="270"/>
      <c r="K3" s="270"/>
      <c r="L3" s="270"/>
      <c r="M3" s="270"/>
    </row>
    <row r="4" spans="1:29" ht="12" customHeight="1" x14ac:dyDescent="0.2">
      <c r="A4" s="270"/>
      <c r="B4" s="270"/>
      <c r="C4" s="813" t="s">
        <v>359</v>
      </c>
      <c r="D4" s="813"/>
      <c r="E4" s="813"/>
      <c r="F4" s="813"/>
      <c r="G4" s="813"/>
      <c r="H4" s="813"/>
      <c r="I4" s="813"/>
      <c r="J4" s="813"/>
      <c r="K4" s="813"/>
      <c r="L4" s="813"/>
      <c r="M4" s="270"/>
    </row>
    <row r="5" spans="1:29" ht="12" customHeight="1" x14ac:dyDescent="0.2"/>
    <row r="6" spans="1:29" ht="12" customHeight="1" x14ac:dyDescent="0.2">
      <c r="A6" s="271"/>
      <c r="B6" s="271"/>
      <c r="D6" s="814" t="s">
        <v>360</v>
      </c>
      <c r="E6" s="814"/>
      <c r="F6" s="814"/>
      <c r="G6" s="814"/>
      <c r="H6" s="814"/>
      <c r="I6" s="814"/>
      <c r="J6" s="814"/>
      <c r="K6" s="814"/>
      <c r="L6" s="272"/>
      <c r="M6" s="159"/>
      <c r="N6" s="159"/>
      <c r="V6" s="273"/>
    </row>
    <row r="7" spans="1:29" ht="12" customHeight="1" x14ac:dyDescent="0.2">
      <c r="D7" s="274"/>
      <c r="E7" s="275"/>
      <c r="F7" s="275" t="s">
        <v>153</v>
      </c>
      <c r="G7" s="275"/>
      <c r="H7" s="275"/>
      <c r="I7" s="276"/>
      <c r="J7" s="276" t="s">
        <v>97</v>
      </c>
      <c r="K7" s="277"/>
      <c r="L7" s="278"/>
      <c r="M7" s="159"/>
      <c r="N7" s="159"/>
      <c r="T7" s="273"/>
      <c r="V7" s="273"/>
    </row>
    <row r="8" spans="1:29" ht="12" customHeight="1" x14ac:dyDescent="0.2">
      <c r="D8" s="279"/>
      <c r="E8" s="280" t="s">
        <v>88</v>
      </c>
      <c r="F8" s="280" t="s">
        <v>95</v>
      </c>
      <c r="G8" s="280"/>
      <c r="H8" s="281" t="s">
        <v>361</v>
      </c>
      <c r="I8" s="281"/>
      <c r="J8" s="281" t="s">
        <v>362</v>
      </c>
      <c r="K8" s="277"/>
      <c r="L8" s="282"/>
      <c r="N8" s="159"/>
      <c r="U8" s="273"/>
      <c r="AC8" s="273"/>
    </row>
    <row r="9" spans="1:29" ht="12" customHeight="1" x14ac:dyDescent="0.2">
      <c r="D9" s="280" t="s">
        <v>93</v>
      </c>
      <c r="E9" s="283" t="s">
        <v>94</v>
      </c>
      <c r="F9" s="283" t="s">
        <v>363</v>
      </c>
      <c r="G9" s="283" t="s">
        <v>96</v>
      </c>
      <c r="H9" s="281" t="s">
        <v>364</v>
      </c>
      <c r="I9" s="284" t="s">
        <v>365</v>
      </c>
      <c r="J9" s="284" t="s">
        <v>366</v>
      </c>
      <c r="K9" s="285" t="s">
        <v>367</v>
      </c>
      <c r="L9" s="282"/>
      <c r="N9" s="159"/>
      <c r="U9" s="273"/>
      <c r="AA9" s="273"/>
    </row>
    <row r="10" spans="1:29" ht="12" customHeight="1" x14ac:dyDescent="0.2">
      <c r="A10" s="286" t="s">
        <v>368</v>
      </c>
      <c r="B10" s="286"/>
      <c r="D10" s="283">
        <v>6100</v>
      </c>
      <c r="E10" s="283">
        <v>6200</v>
      </c>
      <c r="F10" s="283">
        <v>6500</v>
      </c>
      <c r="G10" s="283">
        <v>6600</v>
      </c>
      <c r="H10" s="283">
        <v>6810</v>
      </c>
      <c r="I10" s="284">
        <v>6890</v>
      </c>
      <c r="J10" s="284" t="s">
        <v>369</v>
      </c>
      <c r="K10" s="287" t="s">
        <v>370</v>
      </c>
      <c r="L10" s="282"/>
      <c r="N10" s="159"/>
      <c r="S10" s="273"/>
      <c r="AA10" s="159"/>
    </row>
    <row r="11" spans="1:29" ht="12" customHeight="1" x14ac:dyDescent="0.2">
      <c r="A11" s="629" t="s">
        <v>206</v>
      </c>
      <c r="B11" s="629"/>
      <c r="C11" s="288" t="s">
        <v>24</v>
      </c>
      <c r="D11" s="600">
        <f>Calculations!E8</f>
        <v>10702650</v>
      </c>
      <c r="E11" s="600">
        <f>Calculations!E113</f>
        <v>2543190</v>
      </c>
      <c r="F11" s="600">
        <f>Calculations!E238</f>
        <v>351889</v>
      </c>
      <c r="G11" s="600">
        <f>Calculations!E636</f>
        <v>879448</v>
      </c>
      <c r="H11" s="600">
        <f>Calculations!E951</f>
        <v>100326</v>
      </c>
      <c r="I11" s="600">
        <f>Calculations!E1116</f>
        <v>5464</v>
      </c>
      <c r="J11" s="600">
        <f>Calculations!E1454-H11-I11</f>
        <v>1012055</v>
      </c>
      <c r="K11" s="592">
        <v>7544383</v>
      </c>
      <c r="L11" s="289" t="s">
        <v>24</v>
      </c>
      <c r="N11" s="159"/>
      <c r="S11" s="273"/>
      <c r="AA11" s="290" t="str">
        <f>IF(OR(K11="",K14="",K13="",K15="",K16="",K17="",K18="",K19="",K21="",K22="",K24="",K25="",K26=""),"yes","")</f>
        <v/>
      </c>
    </row>
    <row r="12" spans="1:29" ht="12" customHeight="1" x14ac:dyDescent="0.2">
      <c r="A12" s="156" t="s">
        <v>207</v>
      </c>
      <c r="C12" s="288"/>
      <c r="D12" s="291"/>
      <c r="E12" s="291"/>
      <c r="F12" s="291"/>
      <c r="G12" s="291"/>
      <c r="H12" s="291"/>
      <c r="I12" s="291"/>
      <c r="J12" s="291"/>
      <c r="K12" s="87"/>
      <c r="L12" s="289"/>
      <c r="N12" s="159"/>
      <c r="S12" s="273"/>
      <c r="AA12" s="290" t="str">
        <f>IF(OR(E33="",E34="",E35="",E36="",E40="",E41="",E42="",E43="",E44="",E49="",E53="",E54="",E55="",E56=""),"yes","")</f>
        <v/>
      </c>
    </row>
    <row r="13" spans="1:29" ht="12" customHeight="1" x14ac:dyDescent="0.2">
      <c r="A13" s="629" t="s">
        <v>371</v>
      </c>
      <c r="B13" s="629"/>
      <c r="C13" s="288" t="s">
        <v>26</v>
      </c>
      <c r="D13" s="605">
        <f>Calculations!E15</f>
        <v>4795915</v>
      </c>
      <c r="E13" s="605">
        <f>Calculations!E120</f>
        <v>1181153</v>
      </c>
      <c r="F13" s="605">
        <f>Calculations!E265</f>
        <v>147504</v>
      </c>
      <c r="G13" s="605">
        <f>Calculations!E643</f>
        <v>33226</v>
      </c>
      <c r="H13" s="605">
        <f>Calculations!E958</f>
        <v>9160</v>
      </c>
      <c r="I13" s="605">
        <f>Calculations!E1123</f>
        <v>0</v>
      </c>
      <c r="J13" s="605">
        <f>Calculations!E1459-H13-I13</f>
        <v>0</v>
      </c>
      <c r="K13" s="50">
        <v>0</v>
      </c>
      <c r="L13" s="289" t="s">
        <v>26</v>
      </c>
      <c r="W13" s="273"/>
      <c r="AA13" s="290" t="str">
        <f>IF(OR(K30="",K31="",K32="",K36="",K37="",K38="",K41="",K42="",K46="",K47="",K51="",K52="",K53="",K54="",K55="",K56="",K59="",K60=""),"yes","")</f>
        <v/>
      </c>
    </row>
    <row r="14" spans="1:29" ht="12" customHeight="1" x14ac:dyDescent="0.2">
      <c r="A14" s="629" t="s">
        <v>372</v>
      </c>
      <c r="B14" s="629"/>
      <c r="C14" s="288" t="s">
        <v>28</v>
      </c>
      <c r="D14" s="600">
        <f>Calculations!E22</f>
        <v>1429122</v>
      </c>
      <c r="E14" s="600">
        <f>Calculations!E127</f>
        <v>386220</v>
      </c>
      <c r="F14" s="600">
        <f>Calculations!E292</f>
        <v>124338</v>
      </c>
      <c r="G14" s="600">
        <f>Calculations!E650</f>
        <v>12337</v>
      </c>
      <c r="H14" s="600">
        <f>Calculations!E965</f>
        <v>2308</v>
      </c>
      <c r="I14" s="600">
        <f>Calculations!E1130</f>
        <v>0</v>
      </c>
      <c r="J14" s="600">
        <f>Calculations!E1464-H14-I14</f>
        <v>0</v>
      </c>
      <c r="K14" s="50">
        <v>0</v>
      </c>
      <c r="L14" s="292" t="s">
        <v>28</v>
      </c>
      <c r="N14" s="159"/>
      <c r="W14" s="273"/>
      <c r="AA14" s="290" t="str">
        <f>IF(AND(AA11="",AA12="",AA13=""),"","yes")</f>
        <v/>
      </c>
    </row>
    <row r="15" spans="1:29" ht="12" customHeight="1" x14ac:dyDescent="0.2">
      <c r="A15" s="629" t="s">
        <v>373</v>
      </c>
      <c r="B15" s="629"/>
      <c r="C15" s="288" t="s">
        <v>31</v>
      </c>
      <c r="D15" s="600">
        <f>Calculations!E29</f>
        <v>382259</v>
      </c>
      <c r="E15" s="600">
        <f>Calculations!E134</f>
        <v>81981</v>
      </c>
      <c r="F15" s="600">
        <f>Calculations!E319</f>
        <v>54397</v>
      </c>
      <c r="G15" s="600">
        <f>Calculations!E657</f>
        <v>6716</v>
      </c>
      <c r="H15" s="600">
        <f>Calculations!E972</f>
        <v>2912</v>
      </c>
      <c r="I15" s="600">
        <f>Calculations!E1137</f>
        <v>0</v>
      </c>
      <c r="J15" s="600">
        <f>Calculations!E1469-H15-I15</f>
        <v>5757</v>
      </c>
      <c r="K15" s="49">
        <v>0</v>
      </c>
      <c r="L15" s="292" t="s">
        <v>31</v>
      </c>
    </row>
    <row r="16" spans="1:29" ht="12" customHeight="1" x14ac:dyDescent="0.2">
      <c r="A16" s="293" t="s">
        <v>374</v>
      </c>
      <c r="B16" s="293"/>
      <c r="C16" s="294" t="s">
        <v>33</v>
      </c>
      <c r="D16" s="600">
        <f>Calculations!E36</f>
        <v>1048943</v>
      </c>
      <c r="E16" s="600">
        <f>Calculations!E141</f>
        <v>254229</v>
      </c>
      <c r="F16" s="600">
        <f>Calculations!E346</f>
        <v>47011</v>
      </c>
      <c r="G16" s="600">
        <f>Calculations!E664</f>
        <v>14765</v>
      </c>
      <c r="H16" s="600">
        <f>Calculations!E979</f>
        <v>20646</v>
      </c>
      <c r="I16" s="600">
        <f>Calculations!E1144</f>
        <v>0</v>
      </c>
      <c r="J16" s="600">
        <f>Calculations!E1474-H16-I16</f>
        <v>0</v>
      </c>
      <c r="K16" s="49">
        <v>0</v>
      </c>
      <c r="L16" s="295" t="s">
        <v>33</v>
      </c>
    </row>
    <row r="17" spans="1:12" ht="12" customHeight="1" x14ac:dyDescent="0.2">
      <c r="A17" s="296" t="s">
        <v>375</v>
      </c>
      <c r="B17" s="296"/>
      <c r="C17" s="294" t="s">
        <v>35</v>
      </c>
      <c r="D17" s="600">
        <f>Calculations!E43+Calculations!E50</f>
        <v>3772329</v>
      </c>
      <c r="E17" s="600">
        <f>Calculations!E148+Calculations!E155</f>
        <v>2918111</v>
      </c>
      <c r="F17" s="600">
        <f>Calculations!E373+Calculations!E400</f>
        <v>4099149</v>
      </c>
      <c r="G17" s="600">
        <f>Calculations!E671+Calculations!E678</f>
        <v>54895</v>
      </c>
      <c r="H17" s="600">
        <f>Calculations!E986+Calculations!E993</f>
        <v>1567491</v>
      </c>
      <c r="I17" s="600">
        <f>Calculations!E1151+Calculations!E1158</f>
        <v>15692</v>
      </c>
      <c r="J17" s="600">
        <f>Calculations!E1479+Calculations!E1484-Calculations!E1082-H17-I17</f>
        <v>195960</v>
      </c>
      <c r="K17" s="49">
        <v>0</v>
      </c>
      <c r="L17" s="295" t="s">
        <v>35</v>
      </c>
    </row>
    <row r="18" spans="1:12" ht="12" customHeight="1" x14ac:dyDescent="0.2">
      <c r="A18" s="629" t="s">
        <v>376</v>
      </c>
      <c r="B18" s="629"/>
      <c r="C18" s="294" t="s">
        <v>37</v>
      </c>
      <c r="D18" s="600">
        <f>Calculations!E57</f>
        <v>99762</v>
      </c>
      <c r="E18" s="600">
        <f>Calculations!E162</f>
        <v>26115</v>
      </c>
      <c r="F18" s="600">
        <f>Calculations!E427</f>
        <v>293801</v>
      </c>
      <c r="G18" s="600">
        <f>Calculations!E685</f>
        <v>4822</v>
      </c>
      <c r="H18" s="600">
        <f>Calculations!E1000</f>
        <v>0</v>
      </c>
      <c r="I18" s="600">
        <f>Calculations!E1165</f>
        <v>0</v>
      </c>
      <c r="J18" s="600">
        <f>Calculations!E1489-H18-I18</f>
        <v>0</v>
      </c>
      <c r="K18" s="49">
        <v>0</v>
      </c>
      <c r="L18" s="295" t="s">
        <v>37</v>
      </c>
    </row>
    <row r="19" spans="1:12" ht="12" customHeight="1" x14ac:dyDescent="0.2">
      <c r="A19" s="297" t="s">
        <v>377</v>
      </c>
      <c r="B19" s="297"/>
      <c r="C19" s="294" t="s">
        <v>39</v>
      </c>
      <c r="D19" s="600">
        <f>Calculations!E64</f>
        <v>14859</v>
      </c>
      <c r="E19" s="600">
        <f>Calculations!E169</f>
        <v>3971</v>
      </c>
      <c r="F19" s="600">
        <f>Calculations!E454</f>
        <v>1240</v>
      </c>
      <c r="G19" s="600">
        <f>Calculations!E692</f>
        <v>0</v>
      </c>
      <c r="H19" s="600">
        <f>Calculations!E1007</f>
        <v>0</v>
      </c>
      <c r="I19" s="600">
        <f>Calculations!E1172</f>
        <v>0</v>
      </c>
      <c r="J19" s="600">
        <f>Calculations!E1494-H19-I19</f>
        <v>0</v>
      </c>
      <c r="K19" s="52">
        <v>0</v>
      </c>
      <c r="L19" s="295" t="s">
        <v>39</v>
      </c>
    </row>
    <row r="20" spans="1:12" ht="12" customHeight="1" x14ac:dyDescent="0.2">
      <c r="A20" s="629" t="s">
        <v>378</v>
      </c>
      <c r="B20" s="629"/>
      <c r="C20" s="294"/>
      <c r="D20" s="291"/>
      <c r="E20" s="291"/>
      <c r="F20" s="291"/>
      <c r="G20" s="291"/>
      <c r="H20" s="291"/>
      <c r="I20" s="291"/>
      <c r="J20" s="291"/>
      <c r="K20" s="87"/>
      <c r="L20" s="298"/>
    </row>
    <row r="21" spans="1:12" ht="12" customHeight="1" x14ac:dyDescent="0.2">
      <c r="A21" s="297" t="s">
        <v>379</v>
      </c>
      <c r="B21" s="297"/>
      <c r="C21" s="294" t="s">
        <v>41</v>
      </c>
      <c r="D21" s="605">
        <f>Calculations!E71</f>
        <v>430</v>
      </c>
      <c r="E21" s="605">
        <f>Calculations!E176</f>
        <v>2131</v>
      </c>
      <c r="F21" s="605">
        <f>Calculations!E481</f>
        <v>357</v>
      </c>
      <c r="G21" s="605">
        <f>Calculations!E699</f>
        <v>352</v>
      </c>
      <c r="H21" s="605">
        <f>Calculations!E1014</f>
        <v>0</v>
      </c>
      <c r="I21" s="605">
        <f>Calculations!E1179</f>
        <v>0</v>
      </c>
      <c r="J21" s="605">
        <f>Calculations!E1499-H21-I21</f>
        <v>0</v>
      </c>
      <c r="K21" s="50">
        <v>0</v>
      </c>
      <c r="L21" s="298" t="s">
        <v>41</v>
      </c>
    </row>
    <row r="22" spans="1:12" ht="12" customHeight="1" x14ac:dyDescent="0.2">
      <c r="A22" s="297" t="s">
        <v>380</v>
      </c>
      <c r="B22" s="297"/>
      <c r="C22" s="294" t="s">
        <v>43</v>
      </c>
      <c r="D22" s="600">
        <f>Calculations!E85</f>
        <v>0</v>
      </c>
      <c r="E22" s="600">
        <f>Calculations!E190</f>
        <v>0</v>
      </c>
      <c r="F22" s="600">
        <f>Calculations!E535</f>
        <v>0</v>
      </c>
      <c r="G22" s="600">
        <f>Calculations!E713</f>
        <v>0</v>
      </c>
      <c r="H22" s="600">
        <f>Calculations!E1028</f>
        <v>0</v>
      </c>
      <c r="I22" s="600">
        <f>Calculations!E1193</f>
        <v>0</v>
      </c>
      <c r="J22" s="600">
        <f>Calculations!E1504-H22-I22</f>
        <v>0</v>
      </c>
      <c r="K22" s="50">
        <v>0</v>
      </c>
      <c r="L22" s="295" t="s">
        <v>43</v>
      </c>
    </row>
    <row r="23" spans="1:12" ht="12" customHeight="1" x14ac:dyDescent="0.2">
      <c r="A23" s="297" t="s">
        <v>381</v>
      </c>
      <c r="B23" s="297"/>
      <c r="C23" s="294" t="s">
        <v>45</v>
      </c>
      <c r="D23" s="600">
        <f t="shared" ref="D23:K23" si="0">SUM(D11:D22)</f>
        <v>22246269</v>
      </c>
      <c r="E23" s="600">
        <f t="shared" si="0"/>
        <v>7397101</v>
      </c>
      <c r="F23" s="600">
        <f t="shared" si="0"/>
        <v>5119686</v>
      </c>
      <c r="G23" s="600">
        <f t="shared" si="0"/>
        <v>1006561</v>
      </c>
      <c r="H23" s="600">
        <f t="shared" si="0"/>
        <v>1702843</v>
      </c>
      <c r="I23" s="600">
        <f t="shared" si="0"/>
        <v>21156</v>
      </c>
      <c r="J23" s="600">
        <f t="shared" si="0"/>
        <v>1213772</v>
      </c>
      <c r="K23" s="600">
        <f t="shared" si="0"/>
        <v>7544383</v>
      </c>
      <c r="L23" s="295" t="s">
        <v>45</v>
      </c>
    </row>
    <row r="24" spans="1:12" ht="12" customHeight="1" x14ac:dyDescent="0.2">
      <c r="A24" s="297" t="s">
        <v>382</v>
      </c>
      <c r="B24" s="297"/>
      <c r="C24" s="294" t="s">
        <v>47</v>
      </c>
      <c r="D24" s="600">
        <f>Calculations!E106</f>
        <v>2946781</v>
      </c>
      <c r="E24" s="600">
        <f>Calculations!E211</f>
        <v>1127844</v>
      </c>
      <c r="F24" s="600">
        <f>Calculations!E629</f>
        <v>10</v>
      </c>
      <c r="G24" s="598">
        <f>Calculations!E734+'[2]Food Service AFR'!$E$10+'[2]Food Service AFR'!$E$11</f>
        <v>177041</v>
      </c>
      <c r="H24" s="600">
        <f>Calculations!E1049</f>
        <v>-1</v>
      </c>
      <c r="I24" s="600">
        <f>Calculations!E1214</f>
        <v>0</v>
      </c>
      <c r="J24" s="600">
        <f>Calculations!E1518-Calculations!E1109-H24-I24</f>
        <v>0</v>
      </c>
      <c r="K24" s="49">
        <v>0</v>
      </c>
      <c r="L24" s="295" t="s">
        <v>47</v>
      </c>
    </row>
    <row r="25" spans="1:12" ht="12" customHeight="1" x14ac:dyDescent="0.2">
      <c r="A25" s="297" t="s">
        <v>383</v>
      </c>
      <c r="B25" s="297"/>
      <c r="C25" s="294" t="s">
        <v>49</v>
      </c>
      <c r="D25" s="600">
        <f>Calculations!E93-Calculations!E106</f>
        <v>19299488</v>
      </c>
      <c r="E25" s="600">
        <f>Calculations!E198-Calculations!E211</f>
        <v>6269257</v>
      </c>
      <c r="F25" s="600">
        <f>Calculations!E563-Calculations!E629</f>
        <v>5119676</v>
      </c>
      <c r="G25" s="598">
        <f>Calculations!E721-Calculations!E734-'[2]Food Service AFR'!$E$10-'[2]Food Service AFR'!$E$11</f>
        <v>829520</v>
      </c>
      <c r="H25" s="600">
        <f>Calculations!E1036-Calculations!E1049</f>
        <v>1702844</v>
      </c>
      <c r="I25" s="600">
        <f>Calculations!E1201-Calculations!E1214</f>
        <v>21156</v>
      </c>
      <c r="J25" s="600">
        <f>Calculations!E1505-Calculations!E1518-Calculations!E1082-H25-I25</f>
        <v>1213772</v>
      </c>
      <c r="K25" s="49">
        <v>0</v>
      </c>
      <c r="L25" s="295" t="s">
        <v>49</v>
      </c>
    </row>
    <row r="26" spans="1:12" ht="12" customHeight="1" x14ac:dyDescent="0.2">
      <c r="A26" s="297" t="s">
        <v>384</v>
      </c>
      <c r="B26" s="297"/>
      <c r="C26" s="294" t="s">
        <v>51</v>
      </c>
      <c r="D26" s="600">
        <f>Calculations!E92</f>
        <v>0</v>
      </c>
      <c r="E26" s="600">
        <f>Calculations!E197</f>
        <v>0</v>
      </c>
      <c r="F26" s="600">
        <f>Calculations!E562</f>
        <v>0</v>
      </c>
      <c r="G26" s="600">
        <f>Calculations!E720</f>
        <v>0</v>
      </c>
      <c r="H26" s="600">
        <f>Calculations!E1035</f>
        <v>0</v>
      </c>
      <c r="I26" s="600">
        <f>Calculations!E1200</f>
        <v>0</v>
      </c>
      <c r="J26" s="600">
        <f>Calculations!E1523-H26-I26</f>
        <v>0</v>
      </c>
      <c r="K26" s="49">
        <v>0</v>
      </c>
      <c r="L26" s="295" t="s">
        <v>51</v>
      </c>
    </row>
    <row r="27" spans="1:12" ht="12" customHeight="1" x14ac:dyDescent="0.2">
      <c r="B27" s="629"/>
      <c r="C27" s="294"/>
      <c r="D27" s="299"/>
      <c r="E27" s="299"/>
      <c r="F27" s="299"/>
      <c r="G27" s="299"/>
      <c r="H27" s="299"/>
      <c r="I27" s="299"/>
      <c r="J27" s="299"/>
      <c r="K27" s="300"/>
      <c r="L27" s="299"/>
    </row>
    <row r="28" spans="1:12" hidden="1" x14ac:dyDescent="0.2">
      <c r="A28" s="301"/>
      <c r="B28" s="629"/>
      <c r="C28" s="294"/>
      <c r="D28" s="299"/>
      <c r="E28" s="299"/>
      <c r="F28" s="299"/>
      <c r="G28" s="299"/>
      <c r="H28" s="299"/>
      <c r="I28" s="299"/>
      <c r="J28" s="299"/>
      <c r="K28" s="300"/>
      <c r="L28" s="299"/>
    </row>
    <row r="29" spans="1:12" ht="12" customHeight="1" x14ac:dyDescent="0.2">
      <c r="A29" s="302"/>
      <c r="B29" s="302"/>
      <c r="C29" s="302"/>
      <c r="D29" s="303" t="s">
        <v>385</v>
      </c>
      <c r="E29" s="304"/>
      <c r="F29" s="305"/>
      <c r="H29" s="306" t="s">
        <v>1188</v>
      </c>
      <c r="I29" s="221"/>
      <c r="J29" s="306"/>
      <c r="K29" s="300"/>
    </row>
    <row r="30" spans="1:12" ht="12" customHeight="1" x14ac:dyDescent="0.2">
      <c r="A30" s="302"/>
      <c r="B30" s="302"/>
      <c r="C30" s="307"/>
      <c r="D30" s="155" t="s">
        <v>386</v>
      </c>
      <c r="E30" s="308"/>
      <c r="F30" s="305"/>
      <c r="H30" s="815" t="s">
        <v>387</v>
      </c>
      <c r="I30" s="815"/>
      <c r="J30" s="816"/>
      <c r="K30" s="49">
        <v>0</v>
      </c>
      <c r="L30" s="309" t="s">
        <v>24</v>
      </c>
    </row>
    <row r="31" spans="1:12" ht="12" customHeight="1" x14ac:dyDescent="0.2">
      <c r="A31" s="302"/>
      <c r="B31" s="302"/>
      <c r="C31" s="307"/>
      <c r="D31" s="155" t="s">
        <v>388</v>
      </c>
      <c r="E31" s="310" t="s">
        <v>389</v>
      </c>
      <c r="F31" s="305"/>
      <c r="H31" s="815" t="s">
        <v>390</v>
      </c>
      <c r="I31" s="815"/>
      <c r="J31" s="816"/>
      <c r="K31" s="49">
        <v>0</v>
      </c>
      <c r="L31" s="309" t="s">
        <v>26</v>
      </c>
    </row>
    <row r="32" spans="1:12" ht="12" customHeight="1" x14ac:dyDescent="0.2">
      <c r="A32" s="302"/>
      <c r="B32" s="302"/>
      <c r="C32" s="307"/>
      <c r="D32" s="311" t="s">
        <v>391</v>
      </c>
      <c r="E32" s="312" t="s">
        <v>370</v>
      </c>
      <c r="F32" s="302"/>
      <c r="H32" s="815" t="s">
        <v>392</v>
      </c>
      <c r="I32" s="815"/>
      <c r="J32" s="816"/>
      <c r="K32" s="49">
        <f>CashBal</f>
        <v>6343617</v>
      </c>
      <c r="L32" s="309" t="s">
        <v>28</v>
      </c>
    </row>
    <row r="33" spans="1:12" ht="12" customHeight="1" x14ac:dyDescent="0.2">
      <c r="A33" s="817" t="s">
        <v>393</v>
      </c>
      <c r="B33" s="817"/>
      <c r="C33" s="313"/>
      <c r="D33" s="600">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9">
        <v>0</v>
      </c>
      <c r="F33" s="314" t="s">
        <v>24</v>
      </c>
      <c r="H33" s="156"/>
      <c r="I33" s="156"/>
      <c r="J33" s="156"/>
      <c r="K33" s="315"/>
    </row>
    <row r="34" spans="1:12" ht="12" customHeight="1" x14ac:dyDescent="0.2">
      <c r="A34" s="815" t="s">
        <v>394</v>
      </c>
      <c r="B34" s="815"/>
      <c r="C34" s="630"/>
      <c r="D34" s="600">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9">
        <v>0</v>
      </c>
      <c r="F34" s="314" t="s">
        <v>26</v>
      </c>
      <c r="H34" s="156"/>
      <c r="I34" s="156"/>
      <c r="J34" s="156"/>
      <c r="K34" s="315"/>
    </row>
    <row r="35" spans="1:12" ht="12" customHeight="1" x14ac:dyDescent="0.2">
      <c r="A35" s="815" t="s">
        <v>395</v>
      </c>
      <c r="B35" s="815"/>
      <c r="C35" s="630"/>
      <c r="D35" s="600">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9">
        <v>0</v>
      </c>
      <c r="F35" s="314" t="s">
        <v>28</v>
      </c>
      <c r="H35" s="306" t="s">
        <v>396</v>
      </c>
      <c r="I35" s="221"/>
      <c r="J35" s="156"/>
      <c r="K35" s="315"/>
    </row>
    <row r="36" spans="1:12" ht="12" customHeight="1" x14ac:dyDescent="0.2">
      <c r="A36" s="815" t="s">
        <v>397</v>
      </c>
      <c r="B36" s="815"/>
      <c r="C36" s="313"/>
      <c r="D36" s="600">
        <f>Calculations!E1335</f>
        <v>0</v>
      </c>
      <c r="E36" s="49">
        <v>0</v>
      </c>
      <c r="F36" s="298" t="s">
        <v>31</v>
      </c>
      <c r="H36" s="817" t="s">
        <v>1189</v>
      </c>
      <c r="I36" s="817"/>
      <c r="J36" s="819"/>
      <c r="K36" s="49">
        <v>0</v>
      </c>
      <c r="L36" s="309" t="s">
        <v>24</v>
      </c>
    </row>
    <row r="37" spans="1:12" ht="12" customHeight="1" x14ac:dyDescent="0.2">
      <c r="C37" s="309"/>
      <c r="E37" s="159"/>
      <c r="F37" s="314"/>
      <c r="H37" s="817" t="s">
        <v>1190</v>
      </c>
      <c r="I37" s="817"/>
      <c r="J37" s="819"/>
      <c r="K37" s="49">
        <v>0</v>
      </c>
      <c r="L37" s="309" t="s">
        <v>26</v>
      </c>
    </row>
    <row r="38" spans="1:12" ht="12" customHeight="1" x14ac:dyDescent="0.2">
      <c r="C38" s="309"/>
      <c r="E38" s="159"/>
      <c r="F38" s="314"/>
      <c r="H38" s="817" t="s">
        <v>1191</v>
      </c>
      <c r="I38" s="817"/>
      <c r="J38" s="819"/>
      <c r="K38" s="49">
        <v>0</v>
      </c>
      <c r="L38" s="309" t="s">
        <v>28</v>
      </c>
    </row>
    <row r="39" spans="1:12" ht="12" customHeight="1" x14ac:dyDescent="0.2">
      <c r="A39" s="306" t="s">
        <v>398</v>
      </c>
      <c r="B39" s="221"/>
      <c r="E39" s="316" t="s">
        <v>399</v>
      </c>
      <c r="F39"/>
      <c r="H39" s="817" t="s">
        <v>1192</v>
      </c>
      <c r="I39" s="817"/>
      <c r="J39" s="819"/>
      <c r="K39" s="600">
        <f>K36+K37-K38</f>
        <v>0</v>
      </c>
      <c r="L39" s="309" t="s">
        <v>31</v>
      </c>
    </row>
    <row r="40" spans="1:12" ht="12" customHeight="1" x14ac:dyDescent="0.2">
      <c r="A40" s="818" t="s">
        <v>400</v>
      </c>
      <c r="B40" s="730"/>
      <c r="E40" s="51">
        <v>0</v>
      </c>
      <c r="F40" s="227" t="s">
        <v>24</v>
      </c>
      <c r="K40" s="315"/>
    </row>
    <row r="41" spans="1:12" ht="12" customHeight="1" x14ac:dyDescent="0.2">
      <c r="A41" s="730" t="s">
        <v>401</v>
      </c>
      <c r="B41" s="730"/>
      <c r="C41" s="317"/>
      <c r="E41" s="51">
        <v>0</v>
      </c>
      <c r="F41" s="298" t="s">
        <v>26</v>
      </c>
      <c r="H41" s="817" t="s">
        <v>1193</v>
      </c>
      <c r="I41" s="817"/>
      <c r="J41" s="817"/>
      <c r="K41" s="51">
        <v>0</v>
      </c>
      <c r="L41" s="309" t="s">
        <v>33</v>
      </c>
    </row>
    <row r="42" spans="1:12" ht="12" customHeight="1" x14ac:dyDescent="0.2">
      <c r="A42" s="730" t="s">
        <v>402</v>
      </c>
      <c r="B42" s="730"/>
      <c r="C42" s="317"/>
      <c r="E42" s="51">
        <v>0</v>
      </c>
      <c r="F42" s="298" t="s">
        <v>28</v>
      </c>
      <c r="H42" s="817" t="s">
        <v>1194</v>
      </c>
      <c r="I42" s="817"/>
      <c r="J42" s="817"/>
      <c r="K42" s="51">
        <v>0</v>
      </c>
      <c r="L42" s="309" t="s">
        <v>35</v>
      </c>
    </row>
    <row r="43" spans="1:12" ht="12" customHeight="1" x14ac:dyDescent="0.2">
      <c r="A43" s="730" t="s">
        <v>403</v>
      </c>
      <c r="B43" s="730"/>
      <c r="C43" s="317"/>
      <c r="E43" s="51">
        <v>7544383</v>
      </c>
      <c r="F43" s="298" t="s">
        <v>31</v>
      </c>
      <c r="K43" s="315"/>
    </row>
    <row r="44" spans="1:12" ht="12" customHeight="1" x14ac:dyDescent="0.2">
      <c r="A44" s="730" t="s">
        <v>404</v>
      </c>
      <c r="B44" s="730"/>
      <c r="C44" s="317"/>
      <c r="E44" s="51">
        <v>0</v>
      </c>
      <c r="F44" s="298" t="s">
        <v>33</v>
      </c>
      <c r="H44" s="309"/>
      <c r="I44" s="318"/>
      <c r="J44" s="318"/>
      <c r="K44" s="319"/>
      <c r="L44" s="318"/>
    </row>
    <row r="45" spans="1:12" ht="12" customHeight="1" x14ac:dyDescent="0.2">
      <c r="A45"/>
      <c r="B45"/>
      <c r="C45" s="309"/>
      <c r="E45"/>
      <c r="F45"/>
      <c r="H45" s="306" t="s">
        <v>405</v>
      </c>
      <c r="I45" s="221"/>
      <c r="J45" s="306"/>
      <c r="K45" s="315"/>
    </row>
    <row r="46" spans="1:12" ht="12.75" customHeight="1" x14ac:dyDescent="0.2">
      <c r="E46" s="320"/>
      <c r="H46" s="817" t="s">
        <v>406</v>
      </c>
      <c r="I46" s="817"/>
      <c r="J46" s="819"/>
      <c r="K46" s="49">
        <v>0</v>
      </c>
      <c r="L46" s="309" t="s">
        <v>24</v>
      </c>
    </row>
    <row r="47" spans="1:12" ht="12.75" customHeight="1" x14ac:dyDescent="0.2">
      <c r="A47" s="321" t="s">
        <v>407</v>
      </c>
      <c r="B47" s="322"/>
      <c r="C47" s="305"/>
      <c r="E47" s="323" t="s">
        <v>360</v>
      </c>
      <c r="H47" s="817" t="s">
        <v>408</v>
      </c>
      <c r="I47" s="817"/>
      <c r="J47" s="819"/>
      <c r="K47" s="49">
        <v>477</v>
      </c>
      <c r="L47" s="309" t="s">
        <v>26</v>
      </c>
    </row>
    <row r="48" spans="1:12" ht="12.75" customHeight="1" x14ac:dyDescent="0.2">
      <c r="A48" s="629" t="s">
        <v>409</v>
      </c>
      <c r="B48" s="629"/>
      <c r="C48" s="324"/>
      <c r="E48" s="600">
        <f>Calculations!E1082+Calculations!E1449</f>
        <v>0</v>
      </c>
      <c r="F48" s="314" t="s">
        <v>24</v>
      </c>
      <c r="G48" s="629"/>
      <c r="K48" s="315"/>
    </row>
    <row r="49" spans="1:15" ht="12.75" customHeight="1" x14ac:dyDescent="0.2">
      <c r="A49" s="817" t="s">
        <v>410</v>
      </c>
      <c r="B49" s="817"/>
      <c r="C49" s="324"/>
      <c r="E49" s="49">
        <v>0</v>
      </c>
      <c r="F49" s="314" t="s">
        <v>26</v>
      </c>
      <c r="K49" s="315"/>
    </row>
    <row r="50" spans="1:15" ht="12.75" customHeight="1" x14ac:dyDescent="0.2">
      <c r="A50" s="815" t="s">
        <v>411</v>
      </c>
      <c r="B50" s="815"/>
      <c r="E50" s="600">
        <f>Calculations!E1539-Calculations!E1449</f>
        <v>0</v>
      </c>
      <c r="F50" s="325" t="s">
        <v>28</v>
      </c>
      <c r="H50" s="306" t="s">
        <v>412</v>
      </c>
      <c r="I50" s="306"/>
      <c r="K50" s="315"/>
    </row>
    <row r="51" spans="1:15" ht="12.75" customHeight="1" x14ac:dyDescent="0.2">
      <c r="E51" s="159"/>
      <c r="G51" s="326"/>
      <c r="H51" s="159" t="s">
        <v>413</v>
      </c>
      <c r="K51" s="51">
        <v>0</v>
      </c>
      <c r="L51" s="309" t="s">
        <v>24</v>
      </c>
    </row>
    <row r="52" spans="1:15" ht="12.75" customHeight="1" x14ac:dyDescent="0.2">
      <c r="A52" s="221" t="s">
        <v>414</v>
      </c>
      <c r="B52" s="327"/>
      <c r="C52" s="309"/>
      <c r="E52" s="159"/>
      <c r="G52" s="326"/>
      <c r="H52" s="159" t="s">
        <v>415</v>
      </c>
      <c r="K52" s="51">
        <v>5294</v>
      </c>
      <c r="L52" s="309" t="s">
        <v>26</v>
      </c>
      <c r="M52" s="328"/>
      <c r="N52" s="159"/>
      <c r="O52" s="159"/>
    </row>
    <row r="53" spans="1:15" ht="12.75" customHeight="1" x14ac:dyDescent="0.2">
      <c r="A53" s="156" t="s">
        <v>416</v>
      </c>
      <c r="C53" s="288"/>
      <c r="D53" s="329"/>
      <c r="E53" s="51">
        <v>0</v>
      </c>
      <c r="F53" s="330" t="s">
        <v>24</v>
      </c>
      <c r="G53" s="326"/>
      <c r="H53" s="159" t="s">
        <v>417</v>
      </c>
      <c r="K53" s="51">
        <v>0</v>
      </c>
      <c r="L53" s="288" t="s">
        <v>28</v>
      </c>
    </row>
    <row r="54" spans="1:15" ht="12.75" customHeight="1" x14ac:dyDescent="0.2">
      <c r="A54" s="156" t="s">
        <v>418</v>
      </c>
      <c r="C54" s="288"/>
      <c r="D54" s="329"/>
      <c r="E54" s="51">
        <v>0</v>
      </c>
      <c r="F54" s="330" t="s">
        <v>26</v>
      </c>
      <c r="G54" s="326"/>
      <c r="H54" s="159" t="s">
        <v>419</v>
      </c>
      <c r="K54" s="51">
        <v>148475</v>
      </c>
      <c r="L54" s="288" t="s">
        <v>31</v>
      </c>
    </row>
    <row r="55" spans="1:15" ht="12.75" customHeight="1" x14ac:dyDescent="0.2">
      <c r="A55" s="156" t="s">
        <v>420</v>
      </c>
      <c r="C55" s="288"/>
      <c r="D55" s="329"/>
      <c r="E55" s="51">
        <v>0</v>
      </c>
      <c r="F55" s="330" t="s">
        <v>28</v>
      </c>
      <c r="G55" s="326"/>
      <c r="H55" s="629" t="s">
        <v>421</v>
      </c>
      <c r="I55" s="629"/>
      <c r="J55" s="629"/>
      <c r="K55" s="51">
        <v>1557</v>
      </c>
      <c r="L55" s="288" t="s">
        <v>33</v>
      </c>
    </row>
    <row r="56" spans="1:15" ht="12.75" customHeight="1" x14ac:dyDescent="0.2">
      <c r="A56" s="156" t="s">
        <v>422</v>
      </c>
      <c r="C56" s="288"/>
      <c r="D56" s="329"/>
      <c r="E56" s="51">
        <v>0</v>
      </c>
      <c r="F56" s="330" t="s">
        <v>31</v>
      </c>
      <c r="H56" s="629" t="s">
        <v>423</v>
      </c>
      <c r="I56" s="629"/>
      <c r="J56" s="629"/>
      <c r="K56" s="51">
        <v>2311842</v>
      </c>
      <c r="L56" s="288" t="s">
        <v>35</v>
      </c>
    </row>
    <row r="57" spans="1:15" ht="12.75" customHeight="1" x14ac:dyDescent="0.2">
      <c r="C57" s="331"/>
      <c r="D57" s="329"/>
      <c r="F57" s="273"/>
      <c r="G57" s="326"/>
      <c r="K57" s="315"/>
      <c r="L57" s="288"/>
    </row>
    <row r="58" spans="1:15" ht="12.75" customHeight="1" x14ac:dyDescent="0.2">
      <c r="G58" s="326"/>
      <c r="H58" s="306" t="s">
        <v>424</v>
      </c>
      <c r="I58" s="306"/>
      <c r="K58" s="315"/>
    </row>
    <row r="59" spans="1:15" ht="12.75" customHeight="1" x14ac:dyDescent="0.2">
      <c r="G59" s="326"/>
      <c r="H59" s="159" t="s">
        <v>425</v>
      </c>
      <c r="K59" s="598">
        <f>SUMIFS('Accounting data'!$G$2:$G$37000,'Accounting data'!$J$2:$J$37000,"2220*")</f>
        <v>8</v>
      </c>
      <c r="L59" s="288" t="s">
        <v>24</v>
      </c>
      <c r="M59" s="328"/>
      <c r="N59" s="159"/>
      <c r="O59" s="159"/>
    </row>
    <row r="60" spans="1:15" ht="12.75" customHeight="1" x14ac:dyDescent="0.2">
      <c r="G60" s="326"/>
      <c r="H60" s="159" t="s">
        <v>426</v>
      </c>
      <c r="K60" s="598">
        <f>SUMIFS('Accounting data'!$G$2:$G$37000,'Accounting data'!$J$2:$J$37000,"2230*")</f>
        <v>0</v>
      </c>
      <c r="L60" s="288" t="s">
        <v>26</v>
      </c>
    </row>
    <row r="61" spans="1:15" ht="15" customHeight="1" x14ac:dyDescent="0.2">
      <c r="G61" s="326"/>
    </row>
    <row r="68" spans="8:8" ht="12.75" customHeight="1" x14ac:dyDescent="0.2">
      <c r="H68" s="159" t="s">
        <v>20</v>
      </c>
    </row>
  </sheetData>
  <sheetProtection formatCells="0" formatColumns="0" formatRows="0"/>
  <mergeCells count="25">
    <mergeCell ref="H37:J37"/>
    <mergeCell ref="H46:J46"/>
    <mergeCell ref="H47:J47"/>
    <mergeCell ref="A49:B49"/>
    <mergeCell ref="A35:B35"/>
    <mergeCell ref="A36:B36"/>
    <mergeCell ref="A41:B41"/>
    <mergeCell ref="A42:B42"/>
    <mergeCell ref="H36:J36"/>
    <mergeCell ref="H42:J42"/>
    <mergeCell ref="H41:J41"/>
    <mergeCell ref="H38:J38"/>
    <mergeCell ref="H39:J39"/>
    <mergeCell ref="A50:B50"/>
    <mergeCell ref="A33:B33"/>
    <mergeCell ref="A44:B44"/>
    <mergeCell ref="A40:B40"/>
    <mergeCell ref="A43:B43"/>
    <mergeCell ref="A34:B34"/>
    <mergeCell ref="F1:G1"/>
    <mergeCell ref="C4:L4"/>
    <mergeCell ref="D6:K6"/>
    <mergeCell ref="H32:J32"/>
    <mergeCell ref="H30:J30"/>
    <mergeCell ref="H31:J31"/>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13:K19 K21:K22 K24:K26 K30:K32 K36:K38 K41:K42 K46:K47 K51:K56">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topLeftCell="B19" zoomScaleNormal="100" workbookViewId="0">
      <selection activeCell="D43" sqref="D43"/>
    </sheetView>
  </sheetViews>
  <sheetFormatPr defaultColWidth="9" defaultRowHeight="12.75" x14ac:dyDescent="0.2"/>
  <cols>
    <col min="1" max="1" width="48.33203125" style="333" customWidth="1"/>
    <col min="2" max="2" width="2.83203125" style="333" customWidth="1"/>
    <col min="3" max="3" width="35.33203125" style="333" customWidth="1"/>
    <col min="4" max="4" width="13.83203125" style="333" bestFit="1" customWidth="1"/>
    <col min="5" max="5" width="15.33203125" style="333" customWidth="1"/>
    <col min="6" max="6" width="14.1640625" style="333" customWidth="1"/>
    <col min="7" max="7" width="15.1640625" style="333" customWidth="1"/>
    <col min="8" max="8" width="13.33203125" style="334" customWidth="1"/>
    <col min="9" max="9" width="17.33203125" style="334" customWidth="1"/>
    <col min="10" max="10" width="15.1640625" style="334" customWidth="1"/>
    <col min="11" max="11" width="20.33203125" style="334" customWidth="1"/>
    <col min="12" max="12" width="16" style="333" customWidth="1"/>
    <col min="13" max="13" width="16.83203125" style="333" customWidth="1"/>
    <col min="14" max="14" width="16" style="333" customWidth="1"/>
    <col min="15" max="15" width="14.83203125" style="333" customWidth="1"/>
    <col min="16" max="16" width="17.33203125" style="333" customWidth="1"/>
    <col min="17" max="17" width="14.83203125" style="333" customWidth="1"/>
    <col min="18" max="21" width="9" style="339" customWidth="1"/>
    <col min="22" max="26" width="9" style="340" customWidth="1"/>
    <col min="27" max="27" width="8.1640625" style="340" bestFit="1" customWidth="1"/>
    <col min="28" max="29" width="9" style="340" customWidth="1"/>
    <col min="30" max="34" width="10.33203125" style="341" customWidth="1"/>
    <col min="35" max="35" width="9" style="341" customWidth="1"/>
    <col min="36" max="48" width="9" style="339" customWidth="1"/>
    <col min="49" max="256" width="9" style="333" customWidth="1"/>
    <col min="257" max="257" width="60.33203125" style="333" customWidth="1"/>
    <col min="258" max="258" width="2.83203125" style="333" customWidth="1"/>
    <col min="259" max="259" width="14.83203125" style="333" customWidth="1"/>
    <col min="260" max="260" width="13.83203125" style="333" bestFit="1" customWidth="1"/>
    <col min="261" max="261" width="15.33203125" style="333" customWidth="1"/>
    <col min="262" max="262" width="14.1640625" style="333" customWidth="1"/>
    <col min="263" max="263" width="15.1640625" style="333" customWidth="1"/>
    <col min="264" max="264" width="13.33203125" style="333" customWidth="1"/>
    <col min="265" max="265" width="17.33203125" style="333" customWidth="1"/>
    <col min="266" max="266" width="15.1640625" style="333" customWidth="1"/>
    <col min="267" max="267" width="19.6640625" style="333" customWidth="1"/>
    <col min="268" max="270" width="16" style="333" customWidth="1"/>
    <col min="271" max="271" width="14.83203125" style="333" customWidth="1"/>
    <col min="272" max="272" width="17.33203125" style="333" customWidth="1"/>
    <col min="273" max="273" width="14.83203125" style="333" customWidth="1"/>
    <col min="274" max="282" width="9" style="333" customWidth="1"/>
    <col min="283" max="283" width="7.1640625" style="333" bestFit="1" customWidth="1"/>
    <col min="284" max="285" width="9" style="333" customWidth="1"/>
    <col min="286" max="290" width="10.33203125" style="333" customWidth="1"/>
    <col min="291" max="512" width="9" style="333" customWidth="1"/>
    <col min="513" max="513" width="60.33203125" style="333" customWidth="1"/>
    <col min="514" max="514" width="2.83203125" style="333" customWidth="1"/>
    <col min="515" max="515" width="14.83203125" style="333" customWidth="1"/>
    <col min="516" max="516" width="13.83203125" style="333" bestFit="1" customWidth="1"/>
    <col min="517" max="517" width="15.33203125" style="333" customWidth="1"/>
    <col min="518" max="518" width="14.1640625" style="333" customWidth="1"/>
    <col min="519" max="519" width="15.1640625" style="333" customWidth="1"/>
    <col min="520" max="520" width="13.33203125" style="333" customWidth="1"/>
    <col min="521" max="521" width="17.33203125" style="333" customWidth="1"/>
    <col min="522" max="522" width="15.1640625" style="333" customWidth="1"/>
    <col min="523" max="523" width="19.6640625" style="333" customWidth="1"/>
    <col min="524" max="526" width="16" style="333" customWidth="1"/>
    <col min="527" max="527" width="14.83203125" style="333" customWidth="1"/>
    <col min="528" max="528" width="17.33203125" style="333" customWidth="1"/>
    <col min="529" max="529" width="14.83203125" style="333" customWidth="1"/>
    <col min="530" max="538" width="9" style="333" customWidth="1"/>
    <col min="539" max="539" width="7.1640625" style="333" bestFit="1" customWidth="1"/>
    <col min="540" max="541" width="9" style="333" customWidth="1"/>
    <col min="542" max="546" width="10.33203125" style="333" customWidth="1"/>
    <col min="547" max="768" width="9" style="333" customWidth="1"/>
    <col min="769" max="769" width="60.33203125" style="333" customWidth="1"/>
    <col min="770" max="770" width="2.83203125" style="333" customWidth="1"/>
    <col min="771" max="771" width="14.83203125" style="333" customWidth="1"/>
    <col min="772" max="772" width="13.83203125" style="333" bestFit="1" customWidth="1"/>
    <col min="773" max="773" width="15.33203125" style="333" customWidth="1"/>
    <col min="774" max="774" width="14.1640625" style="333" customWidth="1"/>
    <col min="775" max="775" width="15.1640625" style="333" customWidth="1"/>
    <col min="776" max="776" width="13.33203125" style="333" customWidth="1"/>
    <col min="777" max="777" width="17.33203125" style="333" customWidth="1"/>
    <col min="778" max="778" width="15.1640625" style="333" customWidth="1"/>
    <col min="779" max="779" width="19.6640625" style="333" customWidth="1"/>
    <col min="780" max="782" width="16" style="333" customWidth="1"/>
    <col min="783" max="783" width="14.83203125" style="333" customWidth="1"/>
    <col min="784" max="784" width="17.33203125" style="333" customWidth="1"/>
    <col min="785" max="785" width="14.83203125" style="333" customWidth="1"/>
    <col min="786" max="794" width="9" style="333" customWidth="1"/>
    <col min="795" max="795" width="7.1640625" style="333" bestFit="1" customWidth="1"/>
    <col min="796" max="797" width="9" style="333" customWidth="1"/>
    <col min="798" max="802" width="10.33203125" style="333" customWidth="1"/>
    <col min="803" max="1024" width="9" style="333" customWidth="1"/>
    <col min="1025" max="1025" width="60.33203125" style="333" customWidth="1"/>
    <col min="1026" max="1026" width="2.83203125" style="333" customWidth="1"/>
    <col min="1027" max="1027" width="14.83203125" style="333" customWidth="1"/>
    <col min="1028" max="1028" width="13.83203125" style="333" bestFit="1" customWidth="1"/>
    <col min="1029" max="1029" width="15.33203125" style="333" customWidth="1"/>
    <col min="1030" max="1030" width="14.1640625" style="333" customWidth="1"/>
    <col min="1031" max="1031" width="15.1640625" style="333" customWidth="1"/>
    <col min="1032" max="1032" width="13.33203125" style="333" customWidth="1"/>
    <col min="1033" max="1033" width="17.33203125" style="333" customWidth="1"/>
    <col min="1034" max="1034" width="15.1640625" style="333" customWidth="1"/>
    <col min="1035" max="1035" width="19.6640625" style="333" customWidth="1"/>
    <col min="1036" max="1038" width="16" style="333" customWidth="1"/>
    <col min="1039" max="1039" width="14.83203125" style="333" customWidth="1"/>
    <col min="1040" max="1040" width="17.33203125" style="333" customWidth="1"/>
    <col min="1041" max="1041" width="14.83203125" style="333" customWidth="1"/>
    <col min="1042" max="1050" width="9" style="333" customWidth="1"/>
    <col min="1051" max="1051" width="7.1640625" style="333" bestFit="1" customWidth="1"/>
    <col min="1052" max="1053" width="9" style="333" customWidth="1"/>
    <col min="1054" max="1058" width="10.33203125" style="333" customWidth="1"/>
    <col min="1059" max="1280" width="9" style="333" customWidth="1"/>
    <col min="1281" max="1281" width="60.33203125" style="333" customWidth="1"/>
    <col min="1282" max="1282" width="2.83203125" style="333" customWidth="1"/>
    <col min="1283" max="1283" width="14.83203125" style="333" customWidth="1"/>
    <col min="1284" max="1284" width="13.83203125" style="333" bestFit="1" customWidth="1"/>
    <col min="1285" max="1285" width="15.33203125" style="333" customWidth="1"/>
    <col min="1286" max="1286" width="14.1640625" style="333" customWidth="1"/>
    <col min="1287" max="1287" width="15.1640625" style="333" customWidth="1"/>
    <col min="1288" max="1288" width="13.33203125" style="333" customWidth="1"/>
    <col min="1289" max="1289" width="17.33203125" style="333" customWidth="1"/>
    <col min="1290" max="1290" width="15.1640625" style="333" customWidth="1"/>
    <col min="1291" max="1291" width="19.6640625" style="333" customWidth="1"/>
    <col min="1292" max="1294" width="16" style="333" customWidth="1"/>
    <col min="1295" max="1295" width="14.83203125" style="333" customWidth="1"/>
    <col min="1296" max="1296" width="17.33203125" style="333" customWidth="1"/>
    <col min="1297" max="1297" width="14.83203125" style="333" customWidth="1"/>
    <col min="1298" max="1306" width="9" style="333" customWidth="1"/>
    <col min="1307" max="1307" width="7.1640625" style="333" bestFit="1" customWidth="1"/>
    <col min="1308" max="1309" width="9" style="333" customWidth="1"/>
    <col min="1310" max="1314" width="10.33203125" style="333" customWidth="1"/>
    <col min="1315" max="1536" width="9" style="333" customWidth="1"/>
    <col min="1537" max="1537" width="60.33203125" style="333" customWidth="1"/>
    <col min="1538" max="1538" width="2.83203125" style="333" customWidth="1"/>
    <col min="1539" max="1539" width="14.83203125" style="333" customWidth="1"/>
    <col min="1540" max="1540" width="13.83203125" style="333" bestFit="1" customWidth="1"/>
    <col min="1541" max="1541" width="15.33203125" style="333" customWidth="1"/>
    <col min="1542" max="1542" width="14.1640625" style="333" customWidth="1"/>
    <col min="1543" max="1543" width="15.1640625" style="333" customWidth="1"/>
    <col min="1544" max="1544" width="13.33203125" style="333" customWidth="1"/>
    <col min="1545" max="1545" width="17.33203125" style="333" customWidth="1"/>
    <col min="1546" max="1546" width="15.1640625" style="333" customWidth="1"/>
    <col min="1547" max="1547" width="19.6640625" style="333" customWidth="1"/>
    <col min="1548" max="1550" width="16" style="333" customWidth="1"/>
    <col min="1551" max="1551" width="14.83203125" style="333" customWidth="1"/>
    <col min="1552" max="1552" width="17.33203125" style="333" customWidth="1"/>
    <col min="1553" max="1553" width="14.83203125" style="333" customWidth="1"/>
    <col min="1554" max="1562" width="9" style="333" customWidth="1"/>
    <col min="1563" max="1563" width="7.1640625" style="333" bestFit="1" customWidth="1"/>
    <col min="1564" max="1565" width="9" style="333" customWidth="1"/>
    <col min="1566" max="1570" width="10.33203125" style="333" customWidth="1"/>
    <col min="1571" max="1792" width="9" style="333" customWidth="1"/>
    <col min="1793" max="1793" width="60.33203125" style="333" customWidth="1"/>
    <col min="1794" max="1794" width="2.83203125" style="333" customWidth="1"/>
    <col min="1795" max="1795" width="14.83203125" style="333" customWidth="1"/>
    <col min="1796" max="1796" width="13.83203125" style="333" bestFit="1" customWidth="1"/>
    <col min="1797" max="1797" width="15.33203125" style="333" customWidth="1"/>
    <col min="1798" max="1798" width="14.1640625" style="333" customWidth="1"/>
    <col min="1799" max="1799" width="15.1640625" style="333" customWidth="1"/>
    <col min="1800" max="1800" width="13.33203125" style="333" customWidth="1"/>
    <col min="1801" max="1801" width="17.33203125" style="333" customWidth="1"/>
    <col min="1802" max="1802" width="15.1640625" style="333" customWidth="1"/>
    <col min="1803" max="1803" width="19.6640625" style="333" customWidth="1"/>
    <col min="1804" max="1806" width="16" style="333" customWidth="1"/>
    <col min="1807" max="1807" width="14.83203125" style="333" customWidth="1"/>
    <col min="1808" max="1808" width="17.33203125" style="333" customWidth="1"/>
    <col min="1809" max="1809" width="14.83203125" style="333" customWidth="1"/>
    <col min="1810" max="1818" width="9" style="333" customWidth="1"/>
    <col min="1819" max="1819" width="7.1640625" style="333" bestFit="1" customWidth="1"/>
    <col min="1820" max="1821" width="9" style="333" customWidth="1"/>
    <col min="1822" max="1826" width="10.33203125" style="333" customWidth="1"/>
    <col min="1827" max="2048" width="9" style="333" customWidth="1"/>
    <col min="2049" max="2049" width="60.33203125" style="333" customWidth="1"/>
    <col min="2050" max="2050" width="2.83203125" style="333" customWidth="1"/>
    <col min="2051" max="2051" width="14.83203125" style="333" customWidth="1"/>
    <col min="2052" max="2052" width="13.83203125" style="333" bestFit="1" customWidth="1"/>
    <col min="2053" max="2053" width="15.33203125" style="333" customWidth="1"/>
    <col min="2054" max="2054" width="14.1640625" style="333" customWidth="1"/>
    <col min="2055" max="2055" width="15.1640625" style="333" customWidth="1"/>
    <col min="2056" max="2056" width="13.33203125" style="333" customWidth="1"/>
    <col min="2057" max="2057" width="17.33203125" style="333" customWidth="1"/>
    <col min="2058" max="2058" width="15.1640625" style="333" customWidth="1"/>
    <col min="2059" max="2059" width="19.6640625" style="333" customWidth="1"/>
    <col min="2060" max="2062" width="16" style="333" customWidth="1"/>
    <col min="2063" max="2063" width="14.83203125" style="333" customWidth="1"/>
    <col min="2064" max="2064" width="17.33203125" style="333" customWidth="1"/>
    <col min="2065" max="2065" width="14.83203125" style="333" customWidth="1"/>
    <col min="2066" max="2074" width="9" style="333" customWidth="1"/>
    <col min="2075" max="2075" width="7.1640625" style="333" bestFit="1" customWidth="1"/>
    <col min="2076" max="2077" width="9" style="333" customWidth="1"/>
    <col min="2078" max="2082" width="10.33203125" style="333" customWidth="1"/>
    <col min="2083" max="2304" width="9" style="333" customWidth="1"/>
    <col min="2305" max="2305" width="60.33203125" style="333" customWidth="1"/>
    <col min="2306" max="2306" width="2.83203125" style="333" customWidth="1"/>
    <col min="2307" max="2307" width="14.83203125" style="333" customWidth="1"/>
    <col min="2308" max="2308" width="13.83203125" style="333" bestFit="1" customWidth="1"/>
    <col min="2309" max="2309" width="15.33203125" style="333" customWidth="1"/>
    <col min="2310" max="2310" width="14.1640625" style="333" customWidth="1"/>
    <col min="2311" max="2311" width="15.1640625" style="333" customWidth="1"/>
    <col min="2312" max="2312" width="13.33203125" style="333" customWidth="1"/>
    <col min="2313" max="2313" width="17.33203125" style="333" customWidth="1"/>
    <col min="2314" max="2314" width="15.1640625" style="333" customWidth="1"/>
    <col min="2315" max="2315" width="19.6640625" style="333" customWidth="1"/>
    <col min="2316" max="2318" width="16" style="333" customWidth="1"/>
    <col min="2319" max="2319" width="14.83203125" style="333" customWidth="1"/>
    <col min="2320" max="2320" width="17.33203125" style="333" customWidth="1"/>
    <col min="2321" max="2321" width="14.83203125" style="333" customWidth="1"/>
    <col min="2322" max="2330" width="9" style="333" customWidth="1"/>
    <col min="2331" max="2331" width="7.1640625" style="333" bestFit="1" customWidth="1"/>
    <col min="2332" max="2333" width="9" style="333" customWidth="1"/>
    <col min="2334" max="2338" width="10.33203125" style="333" customWidth="1"/>
    <col min="2339" max="2560" width="9" style="333" customWidth="1"/>
    <col min="2561" max="2561" width="60.33203125" style="333" customWidth="1"/>
    <col min="2562" max="2562" width="2.83203125" style="333" customWidth="1"/>
    <col min="2563" max="2563" width="14.83203125" style="333" customWidth="1"/>
    <col min="2564" max="2564" width="13.83203125" style="333" bestFit="1" customWidth="1"/>
    <col min="2565" max="2565" width="15.33203125" style="333" customWidth="1"/>
    <col min="2566" max="2566" width="14.1640625" style="333" customWidth="1"/>
    <col min="2567" max="2567" width="15.1640625" style="333" customWidth="1"/>
    <col min="2568" max="2568" width="13.33203125" style="333" customWidth="1"/>
    <col min="2569" max="2569" width="17.33203125" style="333" customWidth="1"/>
    <col min="2570" max="2570" width="15.1640625" style="333" customWidth="1"/>
    <col min="2571" max="2571" width="19.6640625" style="333" customWidth="1"/>
    <col min="2572" max="2574" width="16" style="333" customWidth="1"/>
    <col min="2575" max="2575" width="14.83203125" style="333" customWidth="1"/>
    <col min="2576" max="2576" width="17.33203125" style="333" customWidth="1"/>
    <col min="2577" max="2577" width="14.83203125" style="333" customWidth="1"/>
    <col min="2578" max="2586" width="9" style="333" customWidth="1"/>
    <col min="2587" max="2587" width="7.1640625" style="333" bestFit="1" customWidth="1"/>
    <col min="2588" max="2589" width="9" style="333" customWidth="1"/>
    <col min="2590" max="2594" width="10.33203125" style="333" customWidth="1"/>
    <col min="2595" max="2816" width="9" style="333" customWidth="1"/>
    <col min="2817" max="2817" width="60.33203125" style="333" customWidth="1"/>
    <col min="2818" max="2818" width="2.83203125" style="333" customWidth="1"/>
    <col min="2819" max="2819" width="14.83203125" style="333" customWidth="1"/>
    <col min="2820" max="2820" width="13.83203125" style="333" bestFit="1" customWidth="1"/>
    <col min="2821" max="2821" width="15.33203125" style="333" customWidth="1"/>
    <col min="2822" max="2822" width="14.1640625" style="333" customWidth="1"/>
    <col min="2823" max="2823" width="15.1640625" style="333" customWidth="1"/>
    <col min="2824" max="2824" width="13.33203125" style="333" customWidth="1"/>
    <col min="2825" max="2825" width="17.33203125" style="333" customWidth="1"/>
    <col min="2826" max="2826" width="15.1640625" style="333" customWidth="1"/>
    <col min="2827" max="2827" width="19.6640625" style="333" customWidth="1"/>
    <col min="2828" max="2830" width="16" style="333" customWidth="1"/>
    <col min="2831" max="2831" width="14.83203125" style="333" customWidth="1"/>
    <col min="2832" max="2832" width="17.33203125" style="333" customWidth="1"/>
    <col min="2833" max="2833" width="14.83203125" style="333" customWidth="1"/>
    <col min="2834" max="2842" width="9" style="333" customWidth="1"/>
    <col min="2843" max="2843" width="7.1640625" style="333" bestFit="1" customWidth="1"/>
    <col min="2844" max="2845" width="9" style="333" customWidth="1"/>
    <col min="2846" max="2850" width="10.33203125" style="333" customWidth="1"/>
    <col min="2851" max="3072" width="9" style="333" customWidth="1"/>
    <col min="3073" max="3073" width="60.33203125" style="333" customWidth="1"/>
    <col min="3074" max="3074" width="2.83203125" style="333" customWidth="1"/>
    <col min="3075" max="3075" width="14.83203125" style="333" customWidth="1"/>
    <col min="3076" max="3076" width="13.83203125" style="333" bestFit="1" customWidth="1"/>
    <col min="3077" max="3077" width="15.33203125" style="333" customWidth="1"/>
    <col min="3078" max="3078" width="14.1640625" style="333" customWidth="1"/>
    <col min="3079" max="3079" width="15.1640625" style="333" customWidth="1"/>
    <col min="3080" max="3080" width="13.33203125" style="333" customWidth="1"/>
    <col min="3081" max="3081" width="17.33203125" style="333" customWidth="1"/>
    <col min="3082" max="3082" width="15.1640625" style="333" customWidth="1"/>
    <col min="3083" max="3083" width="19.6640625" style="333" customWidth="1"/>
    <col min="3084" max="3086" width="16" style="333" customWidth="1"/>
    <col min="3087" max="3087" width="14.83203125" style="333" customWidth="1"/>
    <col min="3088" max="3088" width="17.33203125" style="333" customWidth="1"/>
    <col min="3089" max="3089" width="14.83203125" style="333" customWidth="1"/>
    <col min="3090" max="3098" width="9" style="333" customWidth="1"/>
    <col min="3099" max="3099" width="7.1640625" style="333" bestFit="1" customWidth="1"/>
    <col min="3100" max="3101" width="9" style="333" customWidth="1"/>
    <col min="3102" max="3106" width="10.33203125" style="333" customWidth="1"/>
    <col min="3107" max="3328" width="9" style="333" customWidth="1"/>
    <col min="3329" max="3329" width="60.33203125" style="333" customWidth="1"/>
    <col min="3330" max="3330" width="2.83203125" style="333" customWidth="1"/>
    <col min="3331" max="3331" width="14.83203125" style="333" customWidth="1"/>
    <col min="3332" max="3332" width="13.83203125" style="333" bestFit="1" customWidth="1"/>
    <col min="3333" max="3333" width="15.33203125" style="333" customWidth="1"/>
    <col min="3334" max="3334" width="14.1640625" style="333" customWidth="1"/>
    <col min="3335" max="3335" width="15.1640625" style="333" customWidth="1"/>
    <col min="3336" max="3336" width="13.33203125" style="333" customWidth="1"/>
    <col min="3337" max="3337" width="17.33203125" style="333" customWidth="1"/>
    <col min="3338" max="3338" width="15.1640625" style="333" customWidth="1"/>
    <col min="3339" max="3339" width="19.6640625" style="333" customWidth="1"/>
    <col min="3340" max="3342" width="16" style="333" customWidth="1"/>
    <col min="3343" max="3343" width="14.83203125" style="333" customWidth="1"/>
    <col min="3344" max="3344" width="17.33203125" style="333" customWidth="1"/>
    <col min="3345" max="3345" width="14.83203125" style="333" customWidth="1"/>
    <col min="3346" max="3354" width="9" style="333" customWidth="1"/>
    <col min="3355" max="3355" width="7.1640625" style="333" bestFit="1" customWidth="1"/>
    <col min="3356" max="3357" width="9" style="333" customWidth="1"/>
    <col min="3358" max="3362" width="10.33203125" style="333" customWidth="1"/>
    <col min="3363" max="3584" width="9" style="333" customWidth="1"/>
    <col min="3585" max="3585" width="60.33203125" style="333" customWidth="1"/>
    <col min="3586" max="3586" width="2.83203125" style="333" customWidth="1"/>
    <col min="3587" max="3587" width="14.83203125" style="333" customWidth="1"/>
    <col min="3588" max="3588" width="13.83203125" style="333" bestFit="1" customWidth="1"/>
    <col min="3589" max="3589" width="15.33203125" style="333" customWidth="1"/>
    <col min="3590" max="3590" width="14.1640625" style="333" customWidth="1"/>
    <col min="3591" max="3591" width="15.1640625" style="333" customWidth="1"/>
    <col min="3592" max="3592" width="13.33203125" style="333" customWidth="1"/>
    <col min="3593" max="3593" width="17.33203125" style="333" customWidth="1"/>
    <col min="3594" max="3594" width="15.1640625" style="333" customWidth="1"/>
    <col min="3595" max="3595" width="19.6640625" style="333" customWidth="1"/>
    <col min="3596" max="3598" width="16" style="333" customWidth="1"/>
    <col min="3599" max="3599" width="14.83203125" style="333" customWidth="1"/>
    <col min="3600" max="3600" width="17.33203125" style="333" customWidth="1"/>
    <col min="3601" max="3601" width="14.83203125" style="333" customWidth="1"/>
    <col min="3602" max="3610" width="9" style="333" customWidth="1"/>
    <col min="3611" max="3611" width="7.1640625" style="333" bestFit="1" customWidth="1"/>
    <col min="3612" max="3613" width="9" style="333" customWidth="1"/>
    <col min="3614" max="3618" width="10.33203125" style="333" customWidth="1"/>
    <col min="3619" max="3840" width="9" style="333" customWidth="1"/>
    <col min="3841" max="3841" width="60.33203125" style="333" customWidth="1"/>
    <col min="3842" max="3842" width="2.83203125" style="333" customWidth="1"/>
    <col min="3843" max="3843" width="14.83203125" style="333" customWidth="1"/>
    <col min="3844" max="3844" width="13.83203125" style="333" bestFit="1" customWidth="1"/>
    <col min="3845" max="3845" width="15.33203125" style="333" customWidth="1"/>
    <col min="3846" max="3846" width="14.1640625" style="333" customWidth="1"/>
    <col min="3847" max="3847" width="15.1640625" style="333" customWidth="1"/>
    <col min="3848" max="3848" width="13.33203125" style="333" customWidth="1"/>
    <col min="3849" max="3849" width="17.33203125" style="333" customWidth="1"/>
    <col min="3850" max="3850" width="15.1640625" style="333" customWidth="1"/>
    <col min="3851" max="3851" width="19.6640625" style="333" customWidth="1"/>
    <col min="3852" max="3854" width="16" style="333" customWidth="1"/>
    <col min="3855" max="3855" width="14.83203125" style="333" customWidth="1"/>
    <col min="3856" max="3856" width="17.33203125" style="333" customWidth="1"/>
    <col min="3857" max="3857" width="14.83203125" style="333" customWidth="1"/>
    <col min="3858" max="3866" width="9" style="333" customWidth="1"/>
    <col min="3867" max="3867" width="7.1640625" style="333" bestFit="1" customWidth="1"/>
    <col min="3868" max="3869" width="9" style="333" customWidth="1"/>
    <col min="3870" max="3874" width="10.33203125" style="333" customWidth="1"/>
    <col min="3875" max="4096" width="9" style="333" customWidth="1"/>
    <col min="4097" max="4097" width="60.33203125" style="333" customWidth="1"/>
    <col min="4098" max="4098" width="2.83203125" style="333" customWidth="1"/>
    <col min="4099" max="4099" width="14.83203125" style="333" customWidth="1"/>
    <col min="4100" max="4100" width="13.83203125" style="333" bestFit="1" customWidth="1"/>
    <col min="4101" max="4101" width="15.33203125" style="333" customWidth="1"/>
    <col min="4102" max="4102" width="14.1640625" style="333" customWidth="1"/>
    <col min="4103" max="4103" width="15.1640625" style="333" customWidth="1"/>
    <col min="4104" max="4104" width="13.33203125" style="333" customWidth="1"/>
    <col min="4105" max="4105" width="17.33203125" style="333" customWidth="1"/>
    <col min="4106" max="4106" width="15.1640625" style="333" customWidth="1"/>
    <col min="4107" max="4107" width="19.6640625" style="333" customWidth="1"/>
    <col min="4108" max="4110" width="16" style="333" customWidth="1"/>
    <col min="4111" max="4111" width="14.83203125" style="333" customWidth="1"/>
    <col min="4112" max="4112" width="17.33203125" style="333" customWidth="1"/>
    <col min="4113" max="4113" width="14.83203125" style="333" customWidth="1"/>
    <col min="4114" max="4122" width="9" style="333" customWidth="1"/>
    <col min="4123" max="4123" width="7.1640625" style="333" bestFit="1" customWidth="1"/>
    <col min="4124" max="4125" width="9" style="333" customWidth="1"/>
    <col min="4126" max="4130" width="10.33203125" style="333" customWidth="1"/>
    <col min="4131" max="4352" width="9" style="333" customWidth="1"/>
    <col min="4353" max="4353" width="60.33203125" style="333" customWidth="1"/>
    <col min="4354" max="4354" width="2.83203125" style="333" customWidth="1"/>
    <col min="4355" max="4355" width="14.83203125" style="333" customWidth="1"/>
    <col min="4356" max="4356" width="13.83203125" style="333" bestFit="1" customWidth="1"/>
    <col min="4357" max="4357" width="15.33203125" style="333" customWidth="1"/>
    <col min="4358" max="4358" width="14.1640625" style="333" customWidth="1"/>
    <col min="4359" max="4359" width="15.1640625" style="333" customWidth="1"/>
    <col min="4360" max="4360" width="13.33203125" style="333" customWidth="1"/>
    <col min="4361" max="4361" width="17.33203125" style="333" customWidth="1"/>
    <col min="4362" max="4362" width="15.1640625" style="333" customWidth="1"/>
    <col min="4363" max="4363" width="19.6640625" style="333" customWidth="1"/>
    <col min="4364" max="4366" width="16" style="333" customWidth="1"/>
    <col min="4367" max="4367" width="14.83203125" style="333" customWidth="1"/>
    <col min="4368" max="4368" width="17.33203125" style="333" customWidth="1"/>
    <col min="4369" max="4369" width="14.83203125" style="333" customWidth="1"/>
    <col min="4370" max="4378" width="9" style="333" customWidth="1"/>
    <col min="4379" max="4379" width="7.1640625" style="333" bestFit="1" customWidth="1"/>
    <col min="4380" max="4381" width="9" style="333" customWidth="1"/>
    <col min="4382" max="4386" width="10.33203125" style="333" customWidth="1"/>
    <col min="4387" max="4608" width="9" style="333" customWidth="1"/>
    <col min="4609" max="4609" width="60.33203125" style="333" customWidth="1"/>
    <col min="4610" max="4610" width="2.83203125" style="333" customWidth="1"/>
    <col min="4611" max="4611" width="14.83203125" style="333" customWidth="1"/>
    <col min="4612" max="4612" width="13.83203125" style="333" bestFit="1" customWidth="1"/>
    <col min="4613" max="4613" width="15.33203125" style="333" customWidth="1"/>
    <col min="4614" max="4614" width="14.1640625" style="333" customWidth="1"/>
    <col min="4615" max="4615" width="15.1640625" style="333" customWidth="1"/>
    <col min="4616" max="4616" width="13.33203125" style="333" customWidth="1"/>
    <col min="4617" max="4617" width="17.33203125" style="333" customWidth="1"/>
    <col min="4618" max="4618" width="15.1640625" style="333" customWidth="1"/>
    <col min="4619" max="4619" width="19.6640625" style="333" customWidth="1"/>
    <col min="4620" max="4622" width="16" style="333" customWidth="1"/>
    <col min="4623" max="4623" width="14.83203125" style="333" customWidth="1"/>
    <col min="4624" max="4624" width="17.33203125" style="333" customWidth="1"/>
    <col min="4625" max="4625" width="14.83203125" style="333" customWidth="1"/>
    <col min="4626" max="4634" width="9" style="333" customWidth="1"/>
    <col min="4635" max="4635" width="7.1640625" style="333" bestFit="1" customWidth="1"/>
    <col min="4636" max="4637" width="9" style="333" customWidth="1"/>
    <col min="4638" max="4642" width="10.33203125" style="333" customWidth="1"/>
    <col min="4643" max="4864" width="9" style="333" customWidth="1"/>
    <col min="4865" max="4865" width="60.33203125" style="333" customWidth="1"/>
    <col min="4866" max="4866" width="2.83203125" style="333" customWidth="1"/>
    <col min="4867" max="4867" width="14.83203125" style="333" customWidth="1"/>
    <col min="4868" max="4868" width="13.83203125" style="333" bestFit="1" customWidth="1"/>
    <col min="4869" max="4869" width="15.33203125" style="333" customWidth="1"/>
    <col min="4870" max="4870" width="14.1640625" style="333" customWidth="1"/>
    <col min="4871" max="4871" width="15.1640625" style="333" customWidth="1"/>
    <col min="4872" max="4872" width="13.33203125" style="333" customWidth="1"/>
    <col min="4873" max="4873" width="17.33203125" style="333" customWidth="1"/>
    <col min="4874" max="4874" width="15.1640625" style="333" customWidth="1"/>
    <col min="4875" max="4875" width="19.6640625" style="333" customWidth="1"/>
    <col min="4876" max="4878" width="16" style="333" customWidth="1"/>
    <col min="4879" max="4879" width="14.83203125" style="333" customWidth="1"/>
    <col min="4880" max="4880" width="17.33203125" style="333" customWidth="1"/>
    <col min="4881" max="4881" width="14.83203125" style="333" customWidth="1"/>
    <col min="4882" max="4890" width="9" style="333" customWidth="1"/>
    <col min="4891" max="4891" width="7.1640625" style="333" bestFit="1" customWidth="1"/>
    <col min="4892" max="4893" width="9" style="333" customWidth="1"/>
    <col min="4894" max="4898" width="10.33203125" style="333" customWidth="1"/>
    <col min="4899" max="5120" width="9" style="333" customWidth="1"/>
    <col min="5121" max="5121" width="60.33203125" style="333" customWidth="1"/>
    <col min="5122" max="5122" width="2.83203125" style="333" customWidth="1"/>
    <col min="5123" max="5123" width="14.83203125" style="333" customWidth="1"/>
    <col min="5124" max="5124" width="13.83203125" style="333" bestFit="1" customWidth="1"/>
    <col min="5125" max="5125" width="15.33203125" style="333" customWidth="1"/>
    <col min="5126" max="5126" width="14.1640625" style="333" customWidth="1"/>
    <col min="5127" max="5127" width="15.1640625" style="333" customWidth="1"/>
    <col min="5128" max="5128" width="13.33203125" style="333" customWidth="1"/>
    <col min="5129" max="5129" width="17.33203125" style="333" customWidth="1"/>
    <col min="5130" max="5130" width="15.1640625" style="333" customWidth="1"/>
    <col min="5131" max="5131" width="19.6640625" style="333" customWidth="1"/>
    <col min="5132" max="5134" width="16" style="333" customWidth="1"/>
    <col min="5135" max="5135" width="14.83203125" style="333" customWidth="1"/>
    <col min="5136" max="5136" width="17.33203125" style="333" customWidth="1"/>
    <col min="5137" max="5137" width="14.83203125" style="333" customWidth="1"/>
    <col min="5138" max="5146" width="9" style="333" customWidth="1"/>
    <col min="5147" max="5147" width="7.1640625" style="333" bestFit="1" customWidth="1"/>
    <col min="5148" max="5149" width="9" style="333" customWidth="1"/>
    <col min="5150" max="5154" width="10.33203125" style="333" customWidth="1"/>
    <col min="5155" max="5376" width="9" style="333" customWidth="1"/>
    <col min="5377" max="5377" width="60.33203125" style="333" customWidth="1"/>
    <col min="5378" max="5378" width="2.83203125" style="333" customWidth="1"/>
    <col min="5379" max="5379" width="14.83203125" style="333" customWidth="1"/>
    <col min="5380" max="5380" width="13.83203125" style="333" bestFit="1" customWidth="1"/>
    <col min="5381" max="5381" width="15.33203125" style="333" customWidth="1"/>
    <col min="5382" max="5382" width="14.1640625" style="333" customWidth="1"/>
    <col min="5383" max="5383" width="15.1640625" style="333" customWidth="1"/>
    <col min="5384" max="5384" width="13.33203125" style="333" customWidth="1"/>
    <col min="5385" max="5385" width="17.33203125" style="333" customWidth="1"/>
    <col min="5386" max="5386" width="15.1640625" style="333" customWidth="1"/>
    <col min="5387" max="5387" width="19.6640625" style="333" customWidth="1"/>
    <col min="5388" max="5390" width="16" style="333" customWidth="1"/>
    <col min="5391" max="5391" width="14.83203125" style="333" customWidth="1"/>
    <col min="5392" max="5392" width="17.33203125" style="333" customWidth="1"/>
    <col min="5393" max="5393" width="14.83203125" style="333" customWidth="1"/>
    <col min="5394" max="5402" width="9" style="333" customWidth="1"/>
    <col min="5403" max="5403" width="7.1640625" style="333" bestFit="1" customWidth="1"/>
    <col min="5404" max="5405" width="9" style="333" customWidth="1"/>
    <col min="5406" max="5410" width="10.33203125" style="333" customWidth="1"/>
    <col min="5411" max="5632" width="9" style="333" customWidth="1"/>
    <col min="5633" max="5633" width="60.33203125" style="333" customWidth="1"/>
    <col min="5634" max="5634" width="2.83203125" style="333" customWidth="1"/>
    <col min="5635" max="5635" width="14.83203125" style="333" customWidth="1"/>
    <col min="5636" max="5636" width="13.83203125" style="333" bestFit="1" customWidth="1"/>
    <col min="5637" max="5637" width="15.33203125" style="333" customWidth="1"/>
    <col min="5638" max="5638" width="14.1640625" style="333" customWidth="1"/>
    <col min="5639" max="5639" width="15.1640625" style="333" customWidth="1"/>
    <col min="5640" max="5640" width="13.33203125" style="333" customWidth="1"/>
    <col min="5641" max="5641" width="17.33203125" style="333" customWidth="1"/>
    <col min="5642" max="5642" width="15.1640625" style="333" customWidth="1"/>
    <col min="5643" max="5643" width="19.6640625" style="333" customWidth="1"/>
    <col min="5644" max="5646" width="16" style="333" customWidth="1"/>
    <col min="5647" max="5647" width="14.83203125" style="333" customWidth="1"/>
    <col min="5648" max="5648" width="17.33203125" style="333" customWidth="1"/>
    <col min="5649" max="5649" width="14.83203125" style="333" customWidth="1"/>
    <col min="5650" max="5658" width="9" style="333" customWidth="1"/>
    <col min="5659" max="5659" width="7.1640625" style="333" bestFit="1" customWidth="1"/>
    <col min="5660" max="5661" width="9" style="333" customWidth="1"/>
    <col min="5662" max="5666" width="10.33203125" style="333" customWidth="1"/>
    <col min="5667" max="5888" width="9" style="333" customWidth="1"/>
    <col min="5889" max="5889" width="60.33203125" style="333" customWidth="1"/>
    <col min="5890" max="5890" width="2.83203125" style="333" customWidth="1"/>
    <col min="5891" max="5891" width="14.83203125" style="333" customWidth="1"/>
    <col min="5892" max="5892" width="13.83203125" style="333" bestFit="1" customWidth="1"/>
    <col min="5893" max="5893" width="15.33203125" style="333" customWidth="1"/>
    <col min="5894" max="5894" width="14.1640625" style="333" customWidth="1"/>
    <col min="5895" max="5895" width="15.1640625" style="333" customWidth="1"/>
    <col min="5896" max="5896" width="13.33203125" style="333" customWidth="1"/>
    <col min="5897" max="5897" width="17.33203125" style="333" customWidth="1"/>
    <col min="5898" max="5898" width="15.1640625" style="333" customWidth="1"/>
    <col min="5899" max="5899" width="19.6640625" style="333" customWidth="1"/>
    <col min="5900" max="5902" width="16" style="333" customWidth="1"/>
    <col min="5903" max="5903" width="14.83203125" style="333" customWidth="1"/>
    <col min="5904" max="5904" width="17.33203125" style="333" customWidth="1"/>
    <col min="5905" max="5905" width="14.83203125" style="333" customWidth="1"/>
    <col min="5906" max="5914" width="9" style="333" customWidth="1"/>
    <col min="5915" max="5915" width="7.1640625" style="333" bestFit="1" customWidth="1"/>
    <col min="5916" max="5917" width="9" style="333" customWidth="1"/>
    <col min="5918" max="5922" width="10.33203125" style="333" customWidth="1"/>
    <col min="5923" max="6144" width="9" style="333" customWidth="1"/>
    <col min="6145" max="6145" width="60.33203125" style="333" customWidth="1"/>
    <col min="6146" max="6146" width="2.83203125" style="333" customWidth="1"/>
    <col min="6147" max="6147" width="14.83203125" style="333" customWidth="1"/>
    <col min="6148" max="6148" width="13.83203125" style="333" bestFit="1" customWidth="1"/>
    <col min="6149" max="6149" width="15.33203125" style="333" customWidth="1"/>
    <col min="6150" max="6150" width="14.1640625" style="333" customWidth="1"/>
    <col min="6151" max="6151" width="15.1640625" style="333" customWidth="1"/>
    <col min="6152" max="6152" width="13.33203125" style="333" customWidth="1"/>
    <col min="6153" max="6153" width="17.33203125" style="333" customWidth="1"/>
    <col min="6154" max="6154" width="15.1640625" style="333" customWidth="1"/>
    <col min="6155" max="6155" width="19.6640625" style="333" customWidth="1"/>
    <col min="6156" max="6158" width="16" style="333" customWidth="1"/>
    <col min="6159" max="6159" width="14.83203125" style="333" customWidth="1"/>
    <col min="6160" max="6160" width="17.33203125" style="333" customWidth="1"/>
    <col min="6161" max="6161" width="14.83203125" style="333" customWidth="1"/>
    <col min="6162" max="6170" width="9" style="333" customWidth="1"/>
    <col min="6171" max="6171" width="7.1640625" style="333" bestFit="1" customWidth="1"/>
    <col min="6172" max="6173" width="9" style="333" customWidth="1"/>
    <col min="6174" max="6178" width="10.33203125" style="333" customWidth="1"/>
    <col min="6179" max="6400" width="9" style="333" customWidth="1"/>
    <col min="6401" max="6401" width="60.33203125" style="333" customWidth="1"/>
    <col min="6402" max="6402" width="2.83203125" style="333" customWidth="1"/>
    <col min="6403" max="6403" width="14.83203125" style="333" customWidth="1"/>
    <col min="6404" max="6404" width="13.83203125" style="333" bestFit="1" customWidth="1"/>
    <col min="6405" max="6405" width="15.33203125" style="333" customWidth="1"/>
    <col min="6406" max="6406" width="14.1640625" style="333" customWidth="1"/>
    <col min="6407" max="6407" width="15.1640625" style="333" customWidth="1"/>
    <col min="6408" max="6408" width="13.33203125" style="333" customWidth="1"/>
    <col min="6409" max="6409" width="17.33203125" style="333" customWidth="1"/>
    <col min="6410" max="6410" width="15.1640625" style="333" customWidth="1"/>
    <col min="6411" max="6411" width="19.6640625" style="333" customWidth="1"/>
    <col min="6412" max="6414" width="16" style="333" customWidth="1"/>
    <col min="6415" max="6415" width="14.83203125" style="333" customWidth="1"/>
    <col min="6416" max="6416" width="17.33203125" style="333" customWidth="1"/>
    <col min="6417" max="6417" width="14.83203125" style="333" customWidth="1"/>
    <col min="6418" max="6426" width="9" style="333" customWidth="1"/>
    <col min="6427" max="6427" width="7.1640625" style="333" bestFit="1" customWidth="1"/>
    <col min="6428" max="6429" width="9" style="333" customWidth="1"/>
    <col min="6430" max="6434" width="10.33203125" style="333" customWidth="1"/>
    <col min="6435" max="6656" width="9" style="333" customWidth="1"/>
    <col min="6657" max="6657" width="60.33203125" style="333" customWidth="1"/>
    <col min="6658" max="6658" width="2.83203125" style="333" customWidth="1"/>
    <col min="6659" max="6659" width="14.83203125" style="333" customWidth="1"/>
    <col min="6660" max="6660" width="13.83203125" style="333" bestFit="1" customWidth="1"/>
    <col min="6661" max="6661" width="15.33203125" style="333" customWidth="1"/>
    <col min="6662" max="6662" width="14.1640625" style="333" customWidth="1"/>
    <col min="6663" max="6663" width="15.1640625" style="333" customWidth="1"/>
    <col min="6664" max="6664" width="13.33203125" style="333" customWidth="1"/>
    <col min="6665" max="6665" width="17.33203125" style="333" customWidth="1"/>
    <col min="6666" max="6666" width="15.1640625" style="333" customWidth="1"/>
    <col min="6667" max="6667" width="19.6640625" style="333" customWidth="1"/>
    <col min="6668" max="6670" width="16" style="333" customWidth="1"/>
    <col min="6671" max="6671" width="14.83203125" style="333" customWidth="1"/>
    <col min="6672" max="6672" width="17.33203125" style="333" customWidth="1"/>
    <col min="6673" max="6673" width="14.83203125" style="333" customWidth="1"/>
    <col min="6674" max="6682" width="9" style="333" customWidth="1"/>
    <col min="6683" max="6683" width="7.1640625" style="333" bestFit="1" customWidth="1"/>
    <col min="6684" max="6685" width="9" style="333" customWidth="1"/>
    <col min="6686" max="6690" width="10.33203125" style="333" customWidth="1"/>
    <col min="6691" max="6912" width="9" style="333" customWidth="1"/>
    <col min="6913" max="6913" width="60.33203125" style="333" customWidth="1"/>
    <col min="6914" max="6914" width="2.83203125" style="333" customWidth="1"/>
    <col min="6915" max="6915" width="14.83203125" style="333" customWidth="1"/>
    <col min="6916" max="6916" width="13.83203125" style="333" bestFit="1" customWidth="1"/>
    <col min="6917" max="6917" width="15.33203125" style="333" customWidth="1"/>
    <col min="6918" max="6918" width="14.1640625" style="333" customWidth="1"/>
    <col min="6919" max="6919" width="15.1640625" style="333" customWidth="1"/>
    <col min="6920" max="6920" width="13.33203125" style="333" customWidth="1"/>
    <col min="6921" max="6921" width="17.33203125" style="333" customWidth="1"/>
    <col min="6922" max="6922" width="15.1640625" style="333" customWidth="1"/>
    <col min="6923" max="6923" width="19.6640625" style="333" customWidth="1"/>
    <col min="6924" max="6926" width="16" style="333" customWidth="1"/>
    <col min="6927" max="6927" width="14.83203125" style="333" customWidth="1"/>
    <col min="6928" max="6928" width="17.33203125" style="333" customWidth="1"/>
    <col min="6929" max="6929" width="14.83203125" style="333" customWidth="1"/>
    <col min="6930" max="6938" width="9" style="333" customWidth="1"/>
    <col min="6939" max="6939" width="7.1640625" style="333" bestFit="1" customWidth="1"/>
    <col min="6940" max="6941" width="9" style="333" customWidth="1"/>
    <col min="6942" max="6946" width="10.33203125" style="333" customWidth="1"/>
    <col min="6947" max="7168" width="9" style="333" customWidth="1"/>
    <col min="7169" max="7169" width="60.33203125" style="333" customWidth="1"/>
    <col min="7170" max="7170" width="2.83203125" style="333" customWidth="1"/>
    <col min="7171" max="7171" width="14.83203125" style="333" customWidth="1"/>
    <col min="7172" max="7172" width="13.83203125" style="333" bestFit="1" customWidth="1"/>
    <col min="7173" max="7173" width="15.33203125" style="333" customWidth="1"/>
    <col min="7174" max="7174" width="14.1640625" style="333" customWidth="1"/>
    <col min="7175" max="7175" width="15.1640625" style="333" customWidth="1"/>
    <col min="7176" max="7176" width="13.33203125" style="333" customWidth="1"/>
    <col min="7177" max="7177" width="17.33203125" style="333" customWidth="1"/>
    <col min="7178" max="7178" width="15.1640625" style="333" customWidth="1"/>
    <col min="7179" max="7179" width="19.6640625" style="333" customWidth="1"/>
    <col min="7180" max="7182" width="16" style="333" customWidth="1"/>
    <col min="7183" max="7183" width="14.83203125" style="333" customWidth="1"/>
    <col min="7184" max="7184" width="17.33203125" style="333" customWidth="1"/>
    <col min="7185" max="7185" width="14.83203125" style="333" customWidth="1"/>
    <col min="7186" max="7194" width="9" style="333" customWidth="1"/>
    <col min="7195" max="7195" width="7.1640625" style="333" bestFit="1" customWidth="1"/>
    <col min="7196" max="7197" width="9" style="333" customWidth="1"/>
    <col min="7198" max="7202" width="10.33203125" style="333" customWidth="1"/>
    <col min="7203" max="7424" width="9" style="333" customWidth="1"/>
    <col min="7425" max="7425" width="60.33203125" style="333" customWidth="1"/>
    <col min="7426" max="7426" width="2.83203125" style="333" customWidth="1"/>
    <col min="7427" max="7427" width="14.83203125" style="333" customWidth="1"/>
    <col min="7428" max="7428" width="13.83203125" style="333" bestFit="1" customWidth="1"/>
    <col min="7429" max="7429" width="15.33203125" style="333" customWidth="1"/>
    <col min="7430" max="7430" width="14.1640625" style="333" customWidth="1"/>
    <col min="7431" max="7431" width="15.1640625" style="333" customWidth="1"/>
    <col min="7432" max="7432" width="13.33203125" style="333" customWidth="1"/>
    <col min="7433" max="7433" width="17.33203125" style="333" customWidth="1"/>
    <col min="7434" max="7434" width="15.1640625" style="333" customWidth="1"/>
    <col min="7435" max="7435" width="19.6640625" style="333" customWidth="1"/>
    <col min="7436" max="7438" width="16" style="333" customWidth="1"/>
    <col min="7439" max="7439" width="14.83203125" style="333" customWidth="1"/>
    <col min="7440" max="7440" width="17.33203125" style="333" customWidth="1"/>
    <col min="7441" max="7441" width="14.83203125" style="333" customWidth="1"/>
    <col min="7442" max="7450" width="9" style="333" customWidth="1"/>
    <col min="7451" max="7451" width="7.1640625" style="333" bestFit="1" customWidth="1"/>
    <col min="7452" max="7453" width="9" style="333" customWidth="1"/>
    <col min="7454" max="7458" width="10.33203125" style="333" customWidth="1"/>
    <col min="7459" max="7680" width="9" style="333" customWidth="1"/>
    <col min="7681" max="7681" width="60.33203125" style="333" customWidth="1"/>
    <col min="7682" max="7682" width="2.83203125" style="333" customWidth="1"/>
    <col min="7683" max="7683" width="14.83203125" style="333" customWidth="1"/>
    <col min="7684" max="7684" width="13.83203125" style="333" bestFit="1" customWidth="1"/>
    <col min="7685" max="7685" width="15.33203125" style="333" customWidth="1"/>
    <col min="7686" max="7686" width="14.1640625" style="333" customWidth="1"/>
    <col min="7687" max="7687" width="15.1640625" style="333" customWidth="1"/>
    <col min="7688" max="7688" width="13.33203125" style="333" customWidth="1"/>
    <col min="7689" max="7689" width="17.33203125" style="333" customWidth="1"/>
    <col min="7690" max="7690" width="15.1640625" style="333" customWidth="1"/>
    <col min="7691" max="7691" width="19.6640625" style="333" customWidth="1"/>
    <col min="7692" max="7694" width="16" style="333" customWidth="1"/>
    <col min="7695" max="7695" width="14.83203125" style="333" customWidth="1"/>
    <col min="7696" max="7696" width="17.33203125" style="333" customWidth="1"/>
    <col min="7697" max="7697" width="14.83203125" style="333" customWidth="1"/>
    <col min="7698" max="7706" width="9" style="333" customWidth="1"/>
    <col min="7707" max="7707" width="7.1640625" style="333" bestFit="1" customWidth="1"/>
    <col min="7708" max="7709" width="9" style="333" customWidth="1"/>
    <col min="7710" max="7714" width="10.33203125" style="333" customWidth="1"/>
    <col min="7715" max="7936" width="9" style="333" customWidth="1"/>
    <col min="7937" max="7937" width="60.33203125" style="333" customWidth="1"/>
    <col min="7938" max="7938" width="2.83203125" style="333" customWidth="1"/>
    <col min="7939" max="7939" width="14.83203125" style="333" customWidth="1"/>
    <col min="7940" max="7940" width="13.83203125" style="333" bestFit="1" customWidth="1"/>
    <col min="7941" max="7941" width="15.33203125" style="333" customWidth="1"/>
    <col min="7942" max="7942" width="14.1640625" style="333" customWidth="1"/>
    <col min="7943" max="7943" width="15.1640625" style="333" customWidth="1"/>
    <col min="7944" max="7944" width="13.33203125" style="333" customWidth="1"/>
    <col min="7945" max="7945" width="17.33203125" style="333" customWidth="1"/>
    <col min="7946" max="7946" width="15.1640625" style="333" customWidth="1"/>
    <col min="7947" max="7947" width="19.6640625" style="333" customWidth="1"/>
    <col min="7948" max="7950" width="16" style="333" customWidth="1"/>
    <col min="7951" max="7951" width="14.83203125" style="333" customWidth="1"/>
    <col min="7952" max="7952" width="17.33203125" style="333" customWidth="1"/>
    <col min="7953" max="7953" width="14.83203125" style="333" customWidth="1"/>
    <col min="7954" max="7962" width="9" style="333" customWidth="1"/>
    <col min="7963" max="7963" width="7.1640625" style="333" bestFit="1" customWidth="1"/>
    <col min="7964" max="7965" width="9" style="333" customWidth="1"/>
    <col min="7966" max="7970" width="10.33203125" style="333" customWidth="1"/>
    <col min="7971" max="8192" width="9" style="333" customWidth="1"/>
    <col min="8193" max="8193" width="60.33203125" style="333" customWidth="1"/>
    <col min="8194" max="8194" width="2.83203125" style="333" customWidth="1"/>
    <col min="8195" max="8195" width="14.83203125" style="333" customWidth="1"/>
    <col min="8196" max="8196" width="13.83203125" style="333" bestFit="1" customWidth="1"/>
    <col min="8197" max="8197" width="15.33203125" style="333" customWidth="1"/>
    <col min="8198" max="8198" width="14.1640625" style="333" customWidth="1"/>
    <col min="8199" max="8199" width="15.1640625" style="333" customWidth="1"/>
    <col min="8200" max="8200" width="13.33203125" style="333" customWidth="1"/>
    <col min="8201" max="8201" width="17.33203125" style="333" customWidth="1"/>
    <col min="8202" max="8202" width="15.1640625" style="333" customWidth="1"/>
    <col min="8203" max="8203" width="19.6640625" style="333" customWidth="1"/>
    <col min="8204" max="8206" width="16" style="333" customWidth="1"/>
    <col min="8207" max="8207" width="14.83203125" style="333" customWidth="1"/>
    <col min="8208" max="8208" width="17.33203125" style="333" customWidth="1"/>
    <col min="8209" max="8209" width="14.83203125" style="333" customWidth="1"/>
    <col min="8210" max="8218" width="9" style="333" customWidth="1"/>
    <col min="8219" max="8219" width="7.1640625" style="333" bestFit="1" customWidth="1"/>
    <col min="8220" max="8221" width="9" style="333" customWidth="1"/>
    <col min="8222" max="8226" width="10.33203125" style="333" customWidth="1"/>
    <col min="8227" max="8448" width="9" style="333" customWidth="1"/>
    <col min="8449" max="8449" width="60.33203125" style="333" customWidth="1"/>
    <col min="8450" max="8450" width="2.83203125" style="333" customWidth="1"/>
    <col min="8451" max="8451" width="14.83203125" style="333" customWidth="1"/>
    <col min="8452" max="8452" width="13.83203125" style="333" bestFit="1" customWidth="1"/>
    <col min="8453" max="8453" width="15.33203125" style="333" customWidth="1"/>
    <col min="8454" max="8454" width="14.1640625" style="333" customWidth="1"/>
    <col min="8455" max="8455" width="15.1640625" style="333" customWidth="1"/>
    <col min="8456" max="8456" width="13.33203125" style="333" customWidth="1"/>
    <col min="8457" max="8457" width="17.33203125" style="333" customWidth="1"/>
    <col min="8458" max="8458" width="15.1640625" style="333" customWidth="1"/>
    <col min="8459" max="8459" width="19.6640625" style="333" customWidth="1"/>
    <col min="8460" max="8462" width="16" style="333" customWidth="1"/>
    <col min="8463" max="8463" width="14.83203125" style="333" customWidth="1"/>
    <col min="8464" max="8464" width="17.33203125" style="333" customWidth="1"/>
    <col min="8465" max="8465" width="14.83203125" style="333" customWidth="1"/>
    <col min="8466" max="8474" width="9" style="333" customWidth="1"/>
    <col min="8475" max="8475" width="7.1640625" style="333" bestFit="1" customWidth="1"/>
    <col min="8476" max="8477" width="9" style="333" customWidth="1"/>
    <col min="8478" max="8482" width="10.33203125" style="333" customWidth="1"/>
    <col min="8483" max="8704" width="9" style="333" customWidth="1"/>
    <col min="8705" max="8705" width="60.33203125" style="333" customWidth="1"/>
    <col min="8706" max="8706" width="2.83203125" style="333" customWidth="1"/>
    <col min="8707" max="8707" width="14.83203125" style="333" customWidth="1"/>
    <col min="8708" max="8708" width="13.83203125" style="333" bestFit="1" customWidth="1"/>
    <col min="8709" max="8709" width="15.33203125" style="333" customWidth="1"/>
    <col min="8710" max="8710" width="14.1640625" style="333" customWidth="1"/>
    <col min="8711" max="8711" width="15.1640625" style="333" customWidth="1"/>
    <col min="8712" max="8712" width="13.33203125" style="333" customWidth="1"/>
    <col min="8713" max="8713" width="17.33203125" style="333" customWidth="1"/>
    <col min="8714" max="8714" width="15.1640625" style="333" customWidth="1"/>
    <col min="8715" max="8715" width="19.6640625" style="333" customWidth="1"/>
    <col min="8716" max="8718" width="16" style="333" customWidth="1"/>
    <col min="8719" max="8719" width="14.83203125" style="333" customWidth="1"/>
    <col min="8720" max="8720" width="17.33203125" style="333" customWidth="1"/>
    <col min="8721" max="8721" width="14.83203125" style="333" customWidth="1"/>
    <col min="8722" max="8730" width="9" style="333" customWidth="1"/>
    <col min="8731" max="8731" width="7.1640625" style="333" bestFit="1" customWidth="1"/>
    <col min="8732" max="8733" width="9" style="333" customWidth="1"/>
    <col min="8734" max="8738" width="10.33203125" style="333" customWidth="1"/>
    <col min="8739" max="8960" width="9" style="333" customWidth="1"/>
    <col min="8961" max="8961" width="60.33203125" style="333" customWidth="1"/>
    <col min="8962" max="8962" width="2.83203125" style="333" customWidth="1"/>
    <col min="8963" max="8963" width="14.83203125" style="333" customWidth="1"/>
    <col min="8964" max="8964" width="13.83203125" style="333" bestFit="1" customWidth="1"/>
    <col min="8965" max="8965" width="15.33203125" style="333" customWidth="1"/>
    <col min="8966" max="8966" width="14.1640625" style="333" customWidth="1"/>
    <col min="8967" max="8967" width="15.1640625" style="333" customWidth="1"/>
    <col min="8968" max="8968" width="13.33203125" style="333" customWidth="1"/>
    <col min="8969" max="8969" width="17.33203125" style="333" customWidth="1"/>
    <col min="8970" max="8970" width="15.1640625" style="333" customWidth="1"/>
    <col min="8971" max="8971" width="19.6640625" style="333" customWidth="1"/>
    <col min="8972" max="8974" width="16" style="333" customWidth="1"/>
    <col min="8975" max="8975" width="14.83203125" style="333" customWidth="1"/>
    <col min="8976" max="8976" width="17.33203125" style="333" customWidth="1"/>
    <col min="8977" max="8977" width="14.83203125" style="333" customWidth="1"/>
    <col min="8978" max="8986" width="9" style="333" customWidth="1"/>
    <col min="8987" max="8987" width="7.1640625" style="333" bestFit="1" customWidth="1"/>
    <col min="8988" max="8989" width="9" style="333" customWidth="1"/>
    <col min="8990" max="8994" width="10.33203125" style="333" customWidth="1"/>
    <col min="8995" max="9216" width="9" style="333" customWidth="1"/>
    <col min="9217" max="9217" width="60.33203125" style="333" customWidth="1"/>
    <col min="9218" max="9218" width="2.83203125" style="333" customWidth="1"/>
    <col min="9219" max="9219" width="14.83203125" style="333" customWidth="1"/>
    <col min="9220" max="9220" width="13.83203125" style="333" bestFit="1" customWidth="1"/>
    <col min="9221" max="9221" width="15.33203125" style="333" customWidth="1"/>
    <col min="9222" max="9222" width="14.1640625" style="333" customWidth="1"/>
    <col min="9223" max="9223" width="15.1640625" style="333" customWidth="1"/>
    <col min="9224" max="9224" width="13.33203125" style="333" customWidth="1"/>
    <col min="9225" max="9225" width="17.33203125" style="333" customWidth="1"/>
    <col min="9226" max="9226" width="15.1640625" style="333" customWidth="1"/>
    <col min="9227" max="9227" width="19.6640625" style="333" customWidth="1"/>
    <col min="9228" max="9230" width="16" style="333" customWidth="1"/>
    <col min="9231" max="9231" width="14.83203125" style="333" customWidth="1"/>
    <col min="9232" max="9232" width="17.33203125" style="333" customWidth="1"/>
    <col min="9233" max="9233" width="14.83203125" style="333" customWidth="1"/>
    <col min="9234" max="9242" width="9" style="333" customWidth="1"/>
    <col min="9243" max="9243" width="7.1640625" style="333" bestFit="1" customWidth="1"/>
    <col min="9244" max="9245" width="9" style="333" customWidth="1"/>
    <col min="9246" max="9250" width="10.33203125" style="333" customWidth="1"/>
    <col min="9251" max="9472" width="9" style="333" customWidth="1"/>
    <col min="9473" max="9473" width="60.33203125" style="333" customWidth="1"/>
    <col min="9474" max="9474" width="2.83203125" style="333" customWidth="1"/>
    <col min="9475" max="9475" width="14.83203125" style="333" customWidth="1"/>
    <col min="9476" max="9476" width="13.83203125" style="333" bestFit="1" customWidth="1"/>
    <col min="9477" max="9477" width="15.33203125" style="333" customWidth="1"/>
    <col min="9478" max="9478" width="14.1640625" style="333" customWidth="1"/>
    <col min="9479" max="9479" width="15.1640625" style="333" customWidth="1"/>
    <col min="9480" max="9480" width="13.33203125" style="333" customWidth="1"/>
    <col min="9481" max="9481" width="17.33203125" style="333" customWidth="1"/>
    <col min="9482" max="9482" width="15.1640625" style="333" customWidth="1"/>
    <col min="9483" max="9483" width="19.6640625" style="333" customWidth="1"/>
    <col min="9484" max="9486" width="16" style="333" customWidth="1"/>
    <col min="9487" max="9487" width="14.83203125" style="333" customWidth="1"/>
    <col min="9488" max="9488" width="17.33203125" style="333" customWidth="1"/>
    <col min="9489" max="9489" width="14.83203125" style="333" customWidth="1"/>
    <col min="9490" max="9498" width="9" style="333" customWidth="1"/>
    <col min="9499" max="9499" width="7.1640625" style="333" bestFit="1" customWidth="1"/>
    <col min="9500" max="9501" width="9" style="333" customWidth="1"/>
    <col min="9502" max="9506" width="10.33203125" style="333" customWidth="1"/>
    <col min="9507" max="9728" width="9" style="333" customWidth="1"/>
    <col min="9729" max="9729" width="60.33203125" style="333" customWidth="1"/>
    <col min="9730" max="9730" width="2.83203125" style="333" customWidth="1"/>
    <col min="9731" max="9731" width="14.83203125" style="333" customWidth="1"/>
    <col min="9732" max="9732" width="13.83203125" style="333" bestFit="1" customWidth="1"/>
    <col min="9733" max="9733" width="15.33203125" style="333" customWidth="1"/>
    <col min="9734" max="9734" width="14.1640625" style="333" customWidth="1"/>
    <col min="9735" max="9735" width="15.1640625" style="333" customWidth="1"/>
    <col min="9736" max="9736" width="13.33203125" style="333" customWidth="1"/>
    <col min="9737" max="9737" width="17.33203125" style="333" customWidth="1"/>
    <col min="9738" max="9738" width="15.1640625" style="333" customWidth="1"/>
    <col min="9739" max="9739" width="19.6640625" style="333" customWidth="1"/>
    <col min="9740" max="9742" width="16" style="333" customWidth="1"/>
    <col min="9743" max="9743" width="14.83203125" style="333" customWidth="1"/>
    <col min="9744" max="9744" width="17.33203125" style="333" customWidth="1"/>
    <col min="9745" max="9745" width="14.83203125" style="333" customWidth="1"/>
    <col min="9746" max="9754" width="9" style="333" customWidth="1"/>
    <col min="9755" max="9755" width="7.1640625" style="333" bestFit="1" customWidth="1"/>
    <col min="9756" max="9757" width="9" style="333" customWidth="1"/>
    <col min="9758" max="9762" width="10.33203125" style="333" customWidth="1"/>
    <col min="9763" max="9984" width="9" style="333" customWidth="1"/>
    <col min="9985" max="9985" width="60.33203125" style="333" customWidth="1"/>
    <col min="9986" max="9986" width="2.83203125" style="333" customWidth="1"/>
    <col min="9987" max="9987" width="14.83203125" style="333" customWidth="1"/>
    <col min="9988" max="9988" width="13.83203125" style="333" bestFit="1" customWidth="1"/>
    <col min="9989" max="9989" width="15.33203125" style="333" customWidth="1"/>
    <col min="9990" max="9990" width="14.1640625" style="333" customWidth="1"/>
    <col min="9991" max="9991" width="15.1640625" style="333" customWidth="1"/>
    <col min="9992" max="9992" width="13.33203125" style="333" customWidth="1"/>
    <col min="9993" max="9993" width="17.33203125" style="333" customWidth="1"/>
    <col min="9994" max="9994" width="15.1640625" style="333" customWidth="1"/>
    <col min="9995" max="9995" width="19.6640625" style="333" customWidth="1"/>
    <col min="9996" max="9998" width="16" style="333" customWidth="1"/>
    <col min="9999" max="9999" width="14.83203125" style="333" customWidth="1"/>
    <col min="10000" max="10000" width="17.33203125" style="333" customWidth="1"/>
    <col min="10001" max="10001" width="14.83203125" style="333" customWidth="1"/>
    <col min="10002" max="10010" width="9" style="333" customWidth="1"/>
    <col min="10011" max="10011" width="7.1640625" style="333" bestFit="1" customWidth="1"/>
    <col min="10012" max="10013" width="9" style="333" customWidth="1"/>
    <col min="10014" max="10018" width="10.33203125" style="333" customWidth="1"/>
    <col min="10019" max="10240" width="9" style="333" customWidth="1"/>
    <col min="10241" max="10241" width="60.33203125" style="333" customWidth="1"/>
    <col min="10242" max="10242" width="2.83203125" style="333" customWidth="1"/>
    <col min="10243" max="10243" width="14.83203125" style="333" customWidth="1"/>
    <col min="10244" max="10244" width="13.83203125" style="333" bestFit="1" customWidth="1"/>
    <col min="10245" max="10245" width="15.33203125" style="333" customWidth="1"/>
    <col min="10246" max="10246" width="14.1640625" style="333" customWidth="1"/>
    <col min="10247" max="10247" width="15.1640625" style="333" customWidth="1"/>
    <col min="10248" max="10248" width="13.33203125" style="333" customWidth="1"/>
    <col min="10249" max="10249" width="17.33203125" style="333" customWidth="1"/>
    <col min="10250" max="10250" width="15.1640625" style="333" customWidth="1"/>
    <col min="10251" max="10251" width="19.6640625" style="333" customWidth="1"/>
    <col min="10252" max="10254" width="16" style="333" customWidth="1"/>
    <col min="10255" max="10255" width="14.83203125" style="333" customWidth="1"/>
    <col min="10256" max="10256" width="17.33203125" style="333" customWidth="1"/>
    <col min="10257" max="10257" width="14.83203125" style="333" customWidth="1"/>
    <col min="10258" max="10266" width="9" style="333" customWidth="1"/>
    <col min="10267" max="10267" width="7.1640625" style="333" bestFit="1" customWidth="1"/>
    <col min="10268" max="10269" width="9" style="333" customWidth="1"/>
    <col min="10270" max="10274" width="10.33203125" style="333" customWidth="1"/>
    <col min="10275" max="10496" width="9" style="333" customWidth="1"/>
    <col min="10497" max="10497" width="60.33203125" style="333" customWidth="1"/>
    <col min="10498" max="10498" width="2.83203125" style="333" customWidth="1"/>
    <col min="10499" max="10499" width="14.83203125" style="333" customWidth="1"/>
    <col min="10500" max="10500" width="13.83203125" style="333" bestFit="1" customWidth="1"/>
    <col min="10501" max="10501" width="15.33203125" style="333" customWidth="1"/>
    <col min="10502" max="10502" width="14.1640625" style="333" customWidth="1"/>
    <col min="10503" max="10503" width="15.1640625" style="333" customWidth="1"/>
    <col min="10504" max="10504" width="13.33203125" style="333" customWidth="1"/>
    <col min="10505" max="10505" width="17.33203125" style="333" customWidth="1"/>
    <col min="10506" max="10506" width="15.1640625" style="333" customWidth="1"/>
    <col min="10507" max="10507" width="19.6640625" style="333" customWidth="1"/>
    <col min="10508" max="10510" width="16" style="333" customWidth="1"/>
    <col min="10511" max="10511" width="14.83203125" style="333" customWidth="1"/>
    <col min="10512" max="10512" width="17.33203125" style="333" customWidth="1"/>
    <col min="10513" max="10513" width="14.83203125" style="333" customWidth="1"/>
    <col min="10514" max="10522" width="9" style="333" customWidth="1"/>
    <col min="10523" max="10523" width="7.1640625" style="333" bestFit="1" customWidth="1"/>
    <col min="10524" max="10525" width="9" style="333" customWidth="1"/>
    <col min="10526" max="10530" width="10.33203125" style="333" customWidth="1"/>
    <col min="10531" max="10752" width="9" style="333" customWidth="1"/>
    <col min="10753" max="10753" width="60.33203125" style="333" customWidth="1"/>
    <col min="10754" max="10754" width="2.83203125" style="333" customWidth="1"/>
    <col min="10755" max="10755" width="14.83203125" style="333" customWidth="1"/>
    <col min="10756" max="10756" width="13.83203125" style="333" bestFit="1" customWidth="1"/>
    <col min="10757" max="10757" width="15.33203125" style="333" customWidth="1"/>
    <col min="10758" max="10758" width="14.1640625" style="333" customWidth="1"/>
    <col min="10759" max="10759" width="15.1640625" style="333" customWidth="1"/>
    <col min="10760" max="10760" width="13.33203125" style="333" customWidth="1"/>
    <col min="10761" max="10761" width="17.33203125" style="333" customWidth="1"/>
    <col min="10762" max="10762" width="15.1640625" style="333" customWidth="1"/>
    <col min="10763" max="10763" width="19.6640625" style="333" customWidth="1"/>
    <col min="10764" max="10766" width="16" style="333" customWidth="1"/>
    <col min="10767" max="10767" width="14.83203125" style="333" customWidth="1"/>
    <col min="10768" max="10768" width="17.33203125" style="333" customWidth="1"/>
    <col min="10769" max="10769" width="14.83203125" style="333" customWidth="1"/>
    <col min="10770" max="10778" width="9" style="333" customWidth="1"/>
    <col min="10779" max="10779" width="7.1640625" style="333" bestFit="1" customWidth="1"/>
    <col min="10780" max="10781" width="9" style="333" customWidth="1"/>
    <col min="10782" max="10786" width="10.33203125" style="333" customWidth="1"/>
    <col min="10787" max="11008" width="9" style="333" customWidth="1"/>
    <col min="11009" max="11009" width="60.33203125" style="333" customWidth="1"/>
    <col min="11010" max="11010" width="2.83203125" style="333" customWidth="1"/>
    <col min="11011" max="11011" width="14.83203125" style="333" customWidth="1"/>
    <col min="11012" max="11012" width="13.83203125" style="333" bestFit="1" customWidth="1"/>
    <col min="11013" max="11013" width="15.33203125" style="333" customWidth="1"/>
    <col min="11014" max="11014" width="14.1640625" style="333" customWidth="1"/>
    <col min="11015" max="11015" width="15.1640625" style="333" customWidth="1"/>
    <col min="11016" max="11016" width="13.33203125" style="333" customWidth="1"/>
    <col min="11017" max="11017" width="17.33203125" style="333" customWidth="1"/>
    <col min="11018" max="11018" width="15.1640625" style="333" customWidth="1"/>
    <col min="11019" max="11019" width="19.6640625" style="333" customWidth="1"/>
    <col min="11020" max="11022" width="16" style="333" customWidth="1"/>
    <col min="11023" max="11023" width="14.83203125" style="333" customWidth="1"/>
    <col min="11024" max="11024" width="17.33203125" style="333" customWidth="1"/>
    <col min="11025" max="11025" width="14.83203125" style="333" customWidth="1"/>
    <col min="11026" max="11034" width="9" style="333" customWidth="1"/>
    <col min="11035" max="11035" width="7.1640625" style="333" bestFit="1" customWidth="1"/>
    <col min="11036" max="11037" width="9" style="333" customWidth="1"/>
    <col min="11038" max="11042" width="10.33203125" style="333" customWidth="1"/>
    <col min="11043" max="11264" width="9" style="333" customWidth="1"/>
    <col min="11265" max="11265" width="60.33203125" style="333" customWidth="1"/>
    <col min="11266" max="11266" width="2.83203125" style="333" customWidth="1"/>
    <col min="11267" max="11267" width="14.83203125" style="333" customWidth="1"/>
    <col min="11268" max="11268" width="13.83203125" style="333" bestFit="1" customWidth="1"/>
    <col min="11269" max="11269" width="15.33203125" style="333" customWidth="1"/>
    <col min="11270" max="11270" width="14.1640625" style="333" customWidth="1"/>
    <col min="11271" max="11271" width="15.1640625" style="333" customWidth="1"/>
    <col min="11272" max="11272" width="13.33203125" style="333" customWidth="1"/>
    <col min="11273" max="11273" width="17.33203125" style="333" customWidth="1"/>
    <col min="11274" max="11274" width="15.1640625" style="333" customWidth="1"/>
    <col min="11275" max="11275" width="19.6640625" style="333" customWidth="1"/>
    <col min="11276" max="11278" width="16" style="333" customWidth="1"/>
    <col min="11279" max="11279" width="14.83203125" style="333" customWidth="1"/>
    <col min="11280" max="11280" width="17.33203125" style="333" customWidth="1"/>
    <col min="11281" max="11281" width="14.83203125" style="333" customWidth="1"/>
    <col min="11282" max="11290" width="9" style="333" customWidth="1"/>
    <col min="11291" max="11291" width="7.1640625" style="333" bestFit="1" customWidth="1"/>
    <col min="11292" max="11293" width="9" style="333" customWidth="1"/>
    <col min="11294" max="11298" width="10.33203125" style="333" customWidth="1"/>
    <col min="11299" max="11520" width="9" style="333" customWidth="1"/>
    <col min="11521" max="11521" width="60.33203125" style="333" customWidth="1"/>
    <col min="11522" max="11522" width="2.83203125" style="333" customWidth="1"/>
    <col min="11523" max="11523" width="14.83203125" style="333" customWidth="1"/>
    <col min="11524" max="11524" width="13.83203125" style="333" bestFit="1" customWidth="1"/>
    <col min="11525" max="11525" width="15.33203125" style="333" customWidth="1"/>
    <col min="11526" max="11526" width="14.1640625" style="333" customWidth="1"/>
    <col min="11527" max="11527" width="15.1640625" style="333" customWidth="1"/>
    <col min="11528" max="11528" width="13.33203125" style="333" customWidth="1"/>
    <col min="11529" max="11529" width="17.33203125" style="333" customWidth="1"/>
    <col min="11530" max="11530" width="15.1640625" style="333" customWidth="1"/>
    <col min="11531" max="11531" width="19.6640625" style="333" customWidth="1"/>
    <col min="11532" max="11534" width="16" style="333" customWidth="1"/>
    <col min="11535" max="11535" width="14.83203125" style="333" customWidth="1"/>
    <col min="11536" max="11536" width="17.33203125" style="333" customWidth="1"/>
    <col min="11537" max="11537" width="14.83203125" style="333" customWidth="1"/>
    <col min="11538" max="11546" width="9" style="333" customWidth="1"/>
    <col min="11547" max="11547" width="7.1640625" style="333" bestFit="1" customWidth="1"/>
    <col min="11548" max="11549" width="9" style="333" customWidth="1"/>
    <col min="11550" max="11554" width="10.33203125" style="333" customWidth="1"/>
    <col min="11555" max="11776" width="9" style="333" customWidth="1"/>
    <col min="11777" max="11777" width="60.33203125" style="333" customWidth="1"/>
    <col min="11778" max="11778" width="2.83203125" style="333" customWidth="1"/>
    <col min="11779" max="11779" width="14.83203125" style="333" customWidth="1"/>
    <col min="11780" max="11780" width="13.83203125" style="333" bestFit="1" customWidth="1"/>
    <col min="11781" max="11781" width="15.33203125" style="333" customWidth="1"/>
    <col min="11782" max="11782" width="14.1640625" style="333" customWidth="1"/>
    <col min="11783" max="11783" width="15.1640625" style="333" customWidth="1"/>
    <col min="11784" max="11784" width="13.33203125" style="333" customWidth="1"/>
    <col min="11785" max="11785" width="17.33203125" style="333" customWidth="1"/>
    <col min="11786" max="11786" width="15.1640625" style="333" customWidth="1"/>
    <col min="11787" max="11787" width="19.6640625" style="333" customWidth="1"/>
    <col min="11788" max="11790" width="16" style="333" customWidth="1"/>
    <col min="11791" max="11791" width="14.83203125" style="333" customWidth="1"/>
    <col min="11792" max="11792" width="17.33203125" style="333" customWidth="1"/>
    <col min="11793" max="11793" width="14.83203125" style="333" customWidth="1"/>
    <col min="11794" max="11802" width="9" style="333" customWidth="1"/>
    <col min="11803" max="11803" width="7.1640625" style="333" bestFit="1" customWidth="1"/>
    <col min="11804" max="11805" width="9" style="333" customWidth="1"/>
    <col min="11806" max="11810" width="10.33203125" style="333" customWidth="1"/>
    <col min="11811" max="12032" width="9" style="333" customWidth="1"/>
    <col min="12033" max="12033" width="60.33203125" style="333" customWidth="1"/>
    <col min="12034" max="12034" width="2.83203125" style="333" customWidth="1"/>
    <col min="12035" max="12035" width="14.83203125" style="333" customWidth="1"/>
    <col min="12036" max="12036" width="13.83203125" style="333" bestFit="1" customWidth="1"/>
    <col min="12037" max="12037" width="15.33203125" style="333" customWidth="1"/>
    <col min="12038" max="12038" width="14.1640625" style="333" customWidth="1"/>
    <col min="12039" max="12039" width="15.1640625" style="333" customWidth="1"/>
    <col min="12040" max="12040" width="13.33203125" style="333" customWidth="1"/>
    <col min="12041" max="12041" width="17.33203125" style="333" customWidth="1"/>
    <col min="12042" max="12042" width="15.1640625" style="333" customWidth="1"/>
    <col min="12043" max="12043" width="19.6640625" style="333" customWidth="1"/>
    <col min="12044" max="12046" width="16" style="333" customWidth="1"/>
    <col min="12047" max="12047" width="14.83203125" style="333" customWidth="1"/>
    <col min="12048" max="12048" width="17.33203125" style="333" customWidth="1"/>
    <col min="12049" max="12049" width="14.83203125" style="333" customWidth="1"/>
    <col min="12050" max="12058" width="9" style="333" customWidth="1"/>
    <col min="12059" max="12059" width="7.1640625" style="333" bestFit="1" customWidth="1"/>
    <col min="12060" max="12061" width="9" style="333" customWidth="1"/>
    <col min="12062" max="12066" width="10.33203125" style="333" customWidth="1"/>
    <col min="12067" max="12288" width="9" style="333" customWidth="1"/>
    <col min="12289" max="12289" width="60.33203125" style="333" customWidth="1"/>
    <col min="12290" max="12290" width="2.83203125" style="333" customWidth="1"/>
    <col min="12291" max="12291" width="14.83203125" style="333" customWidth="1"/>
    <col min="12292" max="12292" width="13.83203125" style="333" bestFit="1" customWidth="1"/>
    <col min="12293" max="12293" width="15.33203125" style="333" customWidth="1"/>
    <col min="12294" max="12294" width="14.1640625" style="333" customWidth="1"/>
    <col min="12295" max="12295" width="15.1640625" style="333" customWidth="1"/>
    <col min="12296" max="12296" width="13.33203125" style="333" customWidth="1"/>
    <col min="12297" max="12297" width="17.33203125" style="333" customWidth="1"/>
    <col min="12298" max="12298" width="15.1640625" style="333" customWidth="1"/>
    <col min="12299" max="12299" width="19.6640625" style="333" customWidth="1"/>
    <col min="12300" max="12302" width="16" style="333" customWidth="1"/>
    <col min="12303" max="12303" width="14.83203125" style="333" customWidth="1"/>
    <col min="12304" max="12304" width="17.33203125" style="333" customWidth="1"/>
    <col min="12305" max="12305" width="14.83203125" style="333" customWidth="1"/>
    <col min="12306" max="12314" width="9" style="333" customWidth="1"/>
    <col min="12315" max="12315" width="7.1640625" style="333" bestFit="1" customWidth="1"/>
    <col min="12316" max="12317" width="9" style="333" customWidth="1"/>
    <col min="12318" max="12322" width="10.33203125" style="333" customWidth="1"/>
    <col min="12323" max="12544" width="9" style="333" customWidth="1"/>
    <col min="12545" max="12545" width="60.33203125" style="333" customWidth="1"/>
    <col min="12546" max="12546" width="2.83203125" style="333" customWidth="1"/>
    <col min="12547" max="12547" width="14.83203125" style="333" customWidth="1"/>
    <col min="12548" max="12548" width="13.83203125" style="333" bestFit="1" customWidth="1"/>
    <col min="12549" max="12549" width="15.33203125" style="333" customWidth="1"/>
    <col min="12550" max="12550" width="14.1640625" style="333" customWidth="1"/>
    <col min="12551" max="12551" width="15.1640625" style="333" customWidth="1"/>
    <col min="12552" max="12552" width="13.33203125" style="333" customWidth="1"/>
    <col min="12553" max="12553" width="17.33203125" style="333" customWidth="1"/>
    <col min="12554" max="12554" width="15.1640625" style="333" customWidth="1"/>
    <col min="12555" max="12555" width="19.6640625" style="333" customWidth="1"/>
    <col min="12556" max="12558" width="16" style="333" customWidth="1"/>
    <col min="12559" max="12559" width="14.83203125" style="333" customWidth="1"/>
    <col min="12560" max="12560" width="17.33203125" style="333" customWidth="1"/>
    <col min="12561" max="12561" width="14.83203125" style="333" customWidth="1"/>
    <col min="12562" max="12570" width="9" style="333" customWidth="1"/>
    <col min="12571" max="12571" width="7.1640625" style="333" bestFit="1" customWidth="1"/>
    <col min="12572" max="12573" width="9" style="333" customWidth="1"/>
    <col min="12574" max="12578" width="10.33203125" style="333" customWidth="1"/>
    <col min="12579" max="12800" width="9" style="333" customWidth="1"/>
    <col min="12801" max="12801" width="60.33203125" style="333" customWidth="1"/>
    <col min="12802" max="12802" width="2.83203125" style="333" customWidth="1"/>
    <col min="12803" max="12803" width="14.83203125" style="333" customWidth="1"/>
    <col min="12804" max="12804" width="13.83203125" style="333" bestFit="1" customWidth="1"/>
    <col min="12805" max="12805" width="15.33203125" style="333" customWidth="1"/>
    <col min="12806" max="12806" width="14.1640625" style="333" customWidth="1"/>
    <col min="12807" max="12807" width="15.1640625" style="333" customWidth="1"/>
    <col min="12808" max="12808" width="13.33203125" style="333" customWidth="1"/>
    <col min="12809" max="12809" width="17.33203125" style="333" customWidth="1"/>
    <col min="12810" max="12810" width="15.1640625" style="333" customWidth="1"/>
    <col min="12811" max="12811" width="19.6640625" style="333" customWidth="1"/>
    <col min="12812" max="12814" width="16" style="333" customWidth="1"/>
    <col min="12815" max="12815" width="14.83203125" style="333" customWidth="1"/>
    <col min="12816" max="12816" width="17.33203125" style="333" customWidth="1"/>
    <col min="12817" max="12817" width="14.83203125" style="333" customWidth="1"/>
    <col min="12818" max="12826" width="9" style="333" customWidth="1"/>
    <col min="12827" max="12827" width="7.1640625" style="333" bestFit="1" customWidth="1"/>
    <col min="12828" max="12829" width="9" style="333" customWidth="1"/>
    <col min="12830" max="12834" width="10.33203125" style="333" customWidth="1"/>
    <col min="12835" max="13056" width="9" style="333" customWidth="1"/>
    <col min="13057" max="13057" width="60.33203125" style="333" customWidth="1"/>
    <col min="13058" max="13058" width="2.83203125" style="333" customWidth="1"/>
    <col min="13059" max="13059" width="14.83203125" style="333" customWidth="1"/>
    <col min="13060" max="13060" width="13.83203125" style="333" bestFit="1" customWidth="1"/>
    <col min="13061" max="13061" width="15.33203125" style="333" customWidth="1"/>
    <col min="13062" max="13062" width="14.1640625" style="333" customWidth="1"/>
    <col min="13063" max="13063" width="15.1640625" style="333" customWidth="1"/>
    <col min="13064" max="13064" width="13.33203125" style="333" customWidth="1"/>
    <col min="13065" max="13065" width="17.33203125" style="333" customWidth="1"/>
    <col min="13066" max="13066" width="15.1640625" style="333" customWidth="1"/>
    <col min="13067" max="13067" width="19.6640625" style="333" customWidth="1"/>
    <col min="13068" max="13070" width="16" style="333" customWidth="1"/>
    <col min="13071" max="13071" width="14.83203125" style="333" customWidth="1"/>
    <col min="13072" max="13072" width="17.33203125" style="333" customWidth="1"/>
    <col min="13073" max="13073" width="14.83203125" style="333" customWidth="1"/>
    <col min="13074" max="13082" width="9" style="333" customWidth="1"/>
    <col min="13083" max="13083" width="7.1640625" style="333" bestFit="1" customWidth="1"/>
    <col min="13084" max="13085" width="9" style="333" customWidth="1"/>
    <col min="13086" max="13090" width="10.33203125" style="333" customWidth="1"/>
    <col min="13091" max="13312" width="9" style="333" customWidth="1"/>
    <col min="13313" max="13313" width="60.33203125" style="333" customWidth="1"/>
    <col min="13314" max="13314" width="2.83203125" style="333" customWidth="1"/>
    <col min="13315" max="13315" width="14.83203125" style="333" customWidth="1"/>
    <col min="13316" max="13316" width="13.83203125" style="333" bestFit="1" customWidth="1"/>
    <col min="13317" max="13317" width="15.33203125" style="333" customWidth="1"/>
    <col min="13318" max="13318" width="14.1640625" style="333" customWidth="1"/>
    <col min="13319" max="13319" width="15.1640625" style="333" customWidth="1"/>
    <col min="13320" max="13320" width="13.33203125" style="333" customWidth="1"/>
    <col min="13321" max="13321" width="17.33203125" style="333" customWidth="1"/>
    <col min="13322" max="13322" width="15.1640625" style="333" customWidth="1"/>
    <col min="13323" max="13323" width="19.6640625" style="333" customWidth="1"/>
    <col min="13324" max="13326" width="16" style="333" customWidth="1"/>
    <col min="13327" max="13327" width="14.83203125" style="333" customWidth="1"/>
    <col min="13328" max="13328" width="17.33203125" style="333" customWidth="1"/>
    <col min="13329" max="13329" width="14.83203125" style="333" customWidth="1"/>
    <col min="13330" max="13338" width="9" style="333" customWidth="1"/>
    <col min="13339" max="13339" width="7.1640625" style="333" bestFit="1" customWidth="1"/>
    <col min="13340" max="13341" width="9" style="333" customWidth="1"/>
    <col min="13342" max="13346" width="10.33203125" style="333" customWidth="1"/>
    <col min="13347" max="13568" width="9" style="333" customWidth="1"/>
    <col min="13569" max="13569" width="60.33203125" style="333" customWidth="1"/>
    <col min="13570" max="13570" width="2.83203125" style="333" customWidth="1"/>
    <col min="13571" max="13571" width="14.83203125" style="333" customWidth="1"/>
    <col min="13572" max="13572" width="13.83203125" style="333" bestFit="1" customWidth="1"/>
    <col min="13573" max="13573" width="15.33203125" style="333" customWidth="1"/>
    <col min="13574" max="13574" width="14.1640625" style="333" customWidth="1"/>
    <col min="13575" max="13575" width="15.1640625" style="333" customWidth="1"/>
    <col min="13576" max="13576" width="13.33203125" style="333" customWidth="1"/>
    <col min="13577" max="13577" width="17.33203125" style="333" customWidth="1"/>
    <col min="13578" max="13578" width="15.1640625" style="333" customWidth="1"/>
    <col min="13579" max="13579" width="19.6640625" style="333" customWidth="1"/>
    <col min="13580" max="13582" width="16" style="333" customWidth="1"/>
    <col min="13583" max="13583" width="14.83203125" style="333" customWidth="1"/>
    <col min="13584" max="13584" width="17.33203125" style="333" customWidth="1"/>
    <col min="13585" max="13585" width="14.83203125" style="333" customWidth="1"/>
    <col min="13586" max="13594" width="9" style="333" customWidth="1"/>
    <col min="13595" max="13595" width="7.1640625" style="333" bestFit="1" customWidth="1"/>
    <col min="13596" max="13597" width="9" style="333" customWidth="1"/>
    <col min="13598" max="13602" width="10.33203125" style="333" customWidth="1"/>
    <col min="13603" max="13824" width="9" style="333" customWidth="1"/>
    <col min="13825" max="13825" width="60.33203125" style="333" customWidth="1"/>
    <col min="13826" max="13826" width="2.83203125" style="333" customWidth="1"/>
    <col min="13827" max="13827" width="14.83203125" style="333" customWidth="1"/>
    <col min="13828" max="13828" width="13.83203125" style="333" bestFit="1" customWidth="1"/>
    <col min="13829" max="13829" width="15.33203125" style="333" customWidth="1"/>
    <col min="13830" max="13830" width="14.1640625" style="333" customWidth="1"/>
    <col min="13831" max="13831" width="15.1640625" style="333" customWidth="1"/>
    <col min="13832" max="13832" width="13.33203125" style="333" customWidth="1"/>
    <col min="13833" max="13833" width="17.33203125" style="333" customWidth="1"/>
    <col min="13834" max="13834" width="15.1640625" style="333" customWidth="1"/>
    <col min="13835" max="13835" width="19.6640625" style="333" customWidth="1"/>
    <col min="13836" max="13838" width="16" style="333" customWidth="1"/>
    <col min="13839" max="13839" width="14.83203125" style="333" customWidth="1"/>
    <col min="13840" max="13840" width="17.33203125" style="333" customWidth="1"/>
    <col min="13841" max="13841" width="14.83203125" style="333" customWidth="1"/>
    <col min="13842" max="13850" width="9" style="333" customWidth="1"/>
    <col min="13851" max="13851" width="7.1640625" style="333" bestFit="1" customWidth="1"/>
    <col min="13852" max="13853" width="9" style="333" customWidth="1"/>
    <col min="13854" max="13858" width="10.33203125" style="333" customWidth="1"/>
    <col min="13859" max="14080" width="9" style="333" customWidth="1"/>
    <col min="14081" max="14081" width="60.33203125" style="333" customWidth="1"/>
    <col min="14082" max="14082" width="2.83203125" style="333" customWidth="1"/>
    <col min="14083" max="14083" width="14.83203125" style="333" customWidth="1"/>
    <col min="14084" max="14084" width="13.83203125" style="333" bestFit="1" customWidth="1"/>
    <col min="14085" max="14085" width="15.33203125" style="333" customWidth="1"/>
    <col min="14086" max="14086" width="14.1640625" style="333" customWidth="1"/>
    <col min="14087" max="14087" width="15.1640625" style="333" customWidth="1"/>
    <col min="14088" max="14088" width="13.33203125" style="333" customWidth="1"/>
    <col min="14089" max="14089" width="17.33203125" style="333" customWidth="1"/>
    <col min="14090" max="14090" width="15.1640625" style="333" customWidth="1"/>
    <col min="14091" max="14091" width="19.6640625" style="333" customWidth="1"/>
    <col min="14092" max="14094" width="16" style="333" customWidth="1"/>
    <col min="14095" max="14095" width="14.83203125" style="333" customWidth="1"/>
    <col min="14096" max="14096" width="17.33203125" style="333" customWidth="1"/>
    <col min="14097" max="14097" width="14.83203125" style="333" customWidth="1"/>
    <col min="14098" max="14106" width="9" style="333" customWidth="1"/>
    <col min="14107" max="14107" width="7.1640625" style="333" bestFit="1" customWidth="1"/>
    <col min="14108" max="14109" width="9" style="333" customWidth="1"/>
    <col min="14110" max="14114" width="10.33203125" style="333" customWidth="1"/>
    <col min="14115" max="14336" width="9" style="333" customWidth="1"/>
    <col min="14337" max="14337" width="60.33203125" style="333" customWidth="1"/>
    <col min="14338" max="14338" width="2.83203125" style="333" customWidth="1"/>
    <col min="14339" max="14339" width="14.83203125" style="333" customWidth="1"/>
    <col min="14340" max="14340" width="13.83203125" style="333" bestFit="1" customWidth="1"/>
    <col min="14341" max="14341" width="15.33203125" style="333" customWidth="1"/>
    <col min="14342" max="14342" width="14.1640625" style="333" customWidth="1"/>
    <col min="14343" max="14343" width="15.1640625" style="333" customWidth="1"/>
    <col min="14344" max="14344" width="13.33203125" style="333" customWidth="1"/>
    <col min="14345" max="14345" width="17.33203125" style="333" customWidth="1"/>
    <col min="14346" max="14346" width="15.1640625" style="333" customWidth="1"/>
    <col min="14347" max="14347" width="19.6640625" style="333" customWidth="1"/>
    <col min="14348" max="14350" width="16" style="333" customWidth="1"/>
    <col min="14351" max="14351" width="14.83203125" style="333" customWidth="1"/>
    <col min="14352" max="14352" width="17.33203125" style="333" customWidth="1"/>
    <col min="14353" max="14353" width="14.83203125" style="333" customWidth="1"/>
    <col min="14354" max="14362" width="9" style="333" customWidth="1"/>
    <col min="14363" max="14363" width="7.1640625" style="333" bestFit="1" customWidth="1"/>
    <col min="14364" max="14365" width="9" style="333" customWidth="1"/>
    <col min="14366" max="14370" width="10.33203125" style="333" customWidth="1"/>
    <col min="14371" max="14592" width="9" style="333" customWidth="1"/>
    <col min="14593" max="14593" width="60.33203125" style="333" customWidth="1"/>
    <col min="14594" max="14594" width="2.83203125" style="333" customWidth="1"/>
    <col min="14595" max="14595" width="14.83203125" style="333" customWidth="1"/>
    <col min="14596" max="14596" width="13.83203125" style="333" bestFit="1" customWidth="1"/>
    <col min="14597" max="14597" width="15.33203125" style="333" customWidth="1"/>
    <col min="14598" max="14598" width="14.1640625" style="333" customWidth="1"/>
    <col min="14599" max="14599" width="15.1640625" style="333" customWidth="1"/>
    <col min="14600" max="14600" width="13.33203125" style="333" customWidth="1"/>
    <col min="14601" max="14601" width="17.33203125" style="333" customWidth="1"/>
    <col min="14602" max="14602" width="15.1640625" style="333" customWidth="1"/>
    <col min="14603" max="14603" width="19.6640625" style="333" customWidth="1"/>
    <col min="14604" max="14606" width="16" style="333" customWidth="1"/>
    <col min="14607" max="14607" width="14.83203125" style="333" customWidth="1"/>
    <col min="14608" max="14608" width="17.33203125" style="333" customWidth="1"/>
    <col min="14609" max="14609" width="14.83203125" style="333" customWidth="1"/>
    <col min="14610" max="14618" width="9" style="333" customWidth="1"/>
    <col min="14619" max="14619" width="7.1640625" style="333" bestFit="1" customWidth="1"/>
    <col min="14620" max="14621" width="9" style="333" customWidth="1"/>
    <col min="14622" max="14626" width="10.33203125" style="333" customWidth="1"/>
    <col min="14627" max="14848" width="9" style="333" customWidth="1"/>
    <col min="14849" max="14849" width="60.33203125" style="333" customWidth="1"/>
    <col min="14850" max="14850" width="2.83203125" style="333" customWidth="1"/>
    <col min="14851" max="14851" width="14.83203125" style="333" customWidth="1"/>
    <col min="14852" max="14852" width="13.83203125" style="333" bestFit="1" customWidth="1"/>
    <col min="14853" max="14853" width="15.33203125" style="333" customWidth="1"/>
    <col min="14854" max="14854" width="14.1640625" style="333" customWidth="1"/>
    <col min="14855" max="14855" width="15.1640625" style="333" customWidth="1"/>
    <col min="14856" max="14856" width="13.33203125" style="333" customWidth="1"/>
    <col min="14857" max="14857" width="17.33203125" style="333" customWidth="1"/>
    <col min="14858" max="14858" width="15.1640625" style="333" customWidth="1"/>
    <col min="14859" max="14859" width="19.6640625" style="333" customWidth="1"/>
    <col min="14860" max="14862" width="16" style="333" customWidth="1"/>
    <col min="14863" max="14863" width="14.83203125" style="333" customWidth="1"/>
    <col min="14864" max="14864" width="17.33203125" style="333" customWidth="1"/>
    <col min="14865" max="14865" width="14.83203125" style="333" customWidth="1"/>
    <col min="14866" max="14874" width="9" style="333" customWidth="1"/>
    <col min="14875" max="14875" width="7.1640625" style="333" bestFit="1" customWidth="1"/>
    <col min="14876" max="14877" width="9" style="333" customWidth="1"/>
    <col min="14878" max="14882" width="10.33203125" style="333" customWidth="1"/>
    <col min="14883" max="15104" width="9" style="333" customWidth="1"/>
    <col min="15105" max="15105" width="60.33203125" style="333" customWidth="1"/>
    <col min="15106" max="15106" width="2.83203125" style="333" customWidth="1"/>
    <col min="15107" max="15107" width="14.83203125" style="333" customWidth="1"/>
    <col min="15108" max="15108" width="13.83203125" style="333" bestFit="1" customWidth="1"/>
    <col min="15109" max="15109" width="15.33203125" style="333" customWidth="1"/>
    <col min="15110" max="15110" width="14.1640625" style="333" customWidth="1"/>
    <col min="15111" max="15111" width="15.1640625" style="333" customWidth="1"/>
    <col min="15112" max="15112" width="13.33203125" style="333" customWidth="1"/>
    <col min="15113" max="15113" width="17.33203125" style="333" customWidth="1"/>
    <col min="15114" max="15114" width="15.1640625" style="333" customWidth="1"/>
    <col min="15115" max="15115" width="19.6640625" style="333" customWidth="1"/>
    <col min="15116" max="15118" width="16" style="333" customWidth="1"/>
    <col min="15119" max="15119" width="14.83203125" style="333" customWidth="1"/>
    <col min="15120" max="15120" width="17.33203125" style="333" customWidth="1"/>
    <col min="15121" max="15121" width="14.83203125" style="333" customWidth="1"/>
    <col min="15122" max="15130" width="9" style="333" customWidth="1"/>
    <col min="15131" max="15131" width="7.1640625" style="333" bestFit="1" customWidth="1"/>
    <col min="15132" max="15133" width="9" style="333" customWidth="1"/>
    <col min="15134" max="15138" width="10.33203125" style="333" customWidth="1"/>
    <col min="15139" max="15360" width="9" style="333" customWidth="1"/>
    <col min="15361" max="15361" width="60.33203125" style="333" customWidth="1"/>
    <col min="15362" max="15362" width="2.83203125" style="333" customWidth="1"/>
    <col min="15363" max="15363" width="14.83203125" style="333" customWidth="1"/>
    <col min="15364" max="15364" width="13.83203125" style="333" bestFit="1" customWidth="1"/>
    <col min="15365" max="15365" width="15.33203125" style="333" customWidth="1"/>
    <col min="15366" max="15366" width="14.1640625" style="333" customWidth="1"/>
    <col min="15367" max="15367" width="15.1640625" style="333" customWidth="1"/>
    <col min="15368" max="15368" width="13.33203125" style="333" customWidth="1"/>
    <col min="15369" max="15369" width="17.33203125" style="333" customWidth="1"/>
    <col min="15370" max="15370" width="15.1640625" style="333" customWidth="1"/>
    <col min="15371" max="15371" width="19.6640625" style="333" customWidth="1"/>
    <col min="15372" max="15374" width="16" style="333" customWidth="1"/>
    <col min="15375" max="15375" width="14.83203125" style="333" customWidth="1"/>
    <col min="15376" max="15376" width="17.33203125" style="333" customWidth="1"/>
    <col min="15377" max="15377" width="14.83203125" style="333" customWidth="1"/>
    <col min="15378" max="15386" width="9" style="333" customWidth="1"/>
    <col min="15387" max="15387" width="7.1640625" style="333" bestFit="1" customWidth="1"/>
    <col min="15388" max="15389" width="9" style="333" customWidth="1"/>
    <col min="15390" max="15394" width="10.33203125" style="333" customWidth="1"/>
    <col min="15395" max="15616" width="9" style="333" customWidth="1"/>
    <col min="15617" max="15617" width="60.33203125" style="333" customWidth="1"/>
    <col min="15618" max="15618" width="2.83203125" style="333" customWidth="1"/>
    <col min="15619" max="15619" width="14.83203125" style="333" customWidth="1"/>
    <col min="15620" max="15620" width="13.83203125" style="333" bestFit="1" customWidth="1"/>
    <col min="15621" max="15621" width="15.33203125" style="333" customWidth="1"/>
    <col min="15622" max="15622" width="14.1640625" style="333" customWidth="1"/>
    <col min="15623" max="15623" width="15.1640625" style="333" customWidth="1"/>
    <col min="15624" max="15624" width="13.33203125" style="333" customWidth="1"/>
    <col min="15625" max="15625" width="17.33203125" style="333" customWidth="1"/>
    <col min="15626" max="15626" width="15.1640625" style="333" customWidth="1"/>
    <col min="15627" max="15627" width="19.6640625" style="333" customWidth="1"/>
    <col min="15628" max="15630" width="16" style="333" customWidth="1"/>
    <col min="15631" max="15631" width="14.83203125" style="333" customWidth="1"/>
    <col min="15632" max="15632" width="17.33203125" style="333" customWidth="1"/>
    <col min="15633" max="15633" width="14.83203125" style="333" customWidth="1"/>
    <col min="15634" max="15642" width="9" style="333" customWidth="1"/>
    <col min="15643" max="15643" width="7.1640625" style="333" bestFit="1" customWidth="1"/>
    <col min="15644" max="15645" width="9" style="333" customWidth="1"/>
    <col min="15646" max="15650" width="10.33203125" style="333" customWidth="1"/>
    <col min="15651" max="15872" width="9" style="333" customWidth="1"/>
    <col min="15873" max="15873" width="60.33203125" style="333" customWidth="1"/>
    <col min="15874" max="15874" width="2.83203125" style="333" customWidth="1"/>
    <col min="15875" max="15875" width="14.83203125" style="333" customWidth="1"/>
    <col min="15876" max="15876" width="13.83203125" style="333" bestFit="1" customWidth="1"/>
    <col min="15877" max="15877" width="15.33203125" style="333" customWidth="1"/>
    <col min="15878" max="15878" width="14.1640625" style="333" customWidth="1"/>
    <col min="15879" max="15879" width="15.1640625" style="333" customWidth="1"/>
    <col min="15880" max="15880" width="13.33203125" style="333" customWidth="1"/>
    <col min="15881" max="15881" width="17.33203125" style="333" customWidth="1"/>
    <col min="15882" max="15882" width="15.1640625" style="333" customWidth="1"/>
    <col min="15883" max="15883" width="19.6640625" style="333" customWidth="1"/>
    <col min="15884" max="15886" width="16" style="333" customWidth="1"/>
    <col min="15887" max="15887" width="14.83203125" style="333" customWidth="1"/>
    <col min="15888" max="15888" width="17.33203125" style="333" customWidth="1"/>
    <col min="15889" max="15889" width="14.83203125" style="333" customWidth="1"/>
    <col min="15890" max="15898" width="9" style="333" customWidth="1"/>
    <col min="15899" max="15899" width="7.1640625" style="333" bestFit="1" customWidth="1"/>
    <col min="15900" max="15901" width="9" style="333" customWidth="1"/>
    <col min="15902" max="15906" width="10.33203125" style="333" customWidth="1"/>
    <col min="15907" max="16128" width="9" style="333" customWidth="1"/>
    <col min="16129" max="16129" width="60.33203125" style="333" customWidth="1"/>
    <col min="16130" max="16130" width="2.83203125" style="333" customWidth="1"/>
    <col min="16131" max="16131" width="14.83203125" style="333" customWidth="1"/>
    <col min="16132" max="16132" width="13.83203125" style="333" bestFit="1" customWidth="1"/>
    <col min="16133" max="16133" width="15.33203125" style="333" customWidth="1"/>
    <col min="16134" max="16134" width="14.1640625" style="333" customWidth="1"/>
    <col min="16135" max="16135" width="15.1640625" style="333" customWidth="1"/>
    <col min="16136" max="16136" width="13.33203125" style="333" customWidth="1"/>
    <col min="16137" max="16137" width="17.33203125" style="333" customWidth="1"/>
    <col min="16138" max="16138" width="15.1640625" style="333" customWidth="1"/>
    <col min="16139" max="16139" width="19.6640625" style="333" customWidth="1"/>
    <col min="16140" max="16142" width="16" style="333" customWidth="1"/>
    <col min="16143" max="16143" width="14.83203125" style="333" customWidth="1"/>
    <col min="16144" max="16144" width="17.33203125" style="333" customWidth="1"/>
    <col min="16145" max="16145" width="14.83203125" style="333" customWidth="1"/>
    <col min="16146" max="16154" width="9" style="333" customWidth="1"/>
    <col min="16155" max="16155" width="7.1640625" style="333" bestFit="1" customWidth="1"/>
    <col min="16156" max="16157" width="9" style="333" customWidth="1"/>
    <col min="16158" max="16162" width="10.33203125" style="333" customWidth="1"/>
    <col min="16163" max="16384" width="9" style="333" customWidth="1"/>
  </cols>
  <sheetData>
    <row r="1" spans="1:27" x14ac:dyDescent="0.2">
      <c r="A1" s="332" t="s">
        <v>0</v>
      </c>
      <c r="B1" s="820" t="str">
        <f>'Cover Page'!D1</f>
        <v>ASU Preparatory Academy - Digital</v>
      </c>
      <c r="C1" s="820"/>
      <c r="D1" s="820"/>
      <c r="E1" s="820"/>
      <c r="G1" s="332" t="s">
        <v>1</v>
      </c>
      <c r="H1" s="820" t="str">
        <f>'Cover Page'!M1</f>
        <v>Maricopa</v>
      </c>
      <c r="I1" s="820"/>
      <c r="K1" s="332" t="s">
        <v>2</v>
      </c>
      <c r="L1" s="335" t="str">
        <f>'Cover Page'!R1</f>
        <v>078284000</v>
      </c>
      <c r="M1" s="336"/>
      <c r="N1" s="336"/>
      <c r="O1" s="337"/>
      <c r="P1" s="338"/>
    </row>
    <row r="2" spans="1:27" x14ac:dyDescent="0.2">
      <c r="A2" s="332"/>
      <c r="B2" s="332"/>
      <c r="C2" s="342"/>
      <c r="D2" s="336"/>
      <c r="E2" s="343"/>
      <c r="F2" s="343"/>
      <c r="G2" s="343"/>
      <c r="H2" s="332"/>
      <c r="I2" s="336"/>
      <c r="J2" s="336"/>
      <c r="K2" s="336"/>
      <c r="L2" s="343"/>
      <c r="M2" s="336"/>
      <c r="N2" s="336"/>
      <c r="O2" s="337"/>
      <c r="P2" s="337"/>
      <c r="Q2" s="344"/>
    </row>
    <row r="3" spans="1:27" x14ac:dyDescent="0.2">
      <c r="B3" s="609"/>
      <c r="C3" s="609" t="s">
        <v>427</v>
      </c>
      <c r="D3" s="609"/>
      <c r="E3" s="609"/>
      <c r="F3" s="609"/>
      <c r="G3" s="609"/>
      <c r="H3" s="609"/>
      <c r="I3" s="609"/>
      <c r="J3" s="609"/>
      <c r="K3" s="609"/>
      <c r="L3" s="609"/>
      <c r="M3" s="609"/>
      <c r="N3" s="337"/>
    </row>
    <row r="4" spans="1:27" ht="24" customHeight="1" x14ac:dyDescent="0.2">
      <c r="L4" s="337"/>
      <c r="M4" s="609"/>
      <c r="N4" s="609"/>
    </row>
    <row r="5" spans="1:27" x14ac:dyDescent="0.2">
      <c r="A5" s="823"/>
      <c r="B5" s="31"/>
      <c r="C5" s="345"/>
      <c r="D5" s="825" t="s">
        <v>360</v>
      </c>
      <c r="E5" s="826"/>
      <c r="F5" s="826"/>
      <c r="G5" s="826"/>
      <c r="H5" s="826"/>
      <c r="I5" s="826"/>
      <c r="J5" s="826"/>
      <c r="K5" s="826"/>
      <c r="L5" s="827"/>
      <c r="M5" s="346" t="s">
        <v>428</v>
      </c>
      <c r="N5" s="828" t="s">
        <v>292</v>
      </c>
    </row>
    <row r="6" spans="1:27" x14ac:dyDescent="0.2">
      <c r="A6" s="824"/>
      <c r="D6" s="347"/>
      <c r="E6" s="348"/>
      <c r="F6" s="348" t="s">
        <v>153</v>
      </c>
      <c r="G6" s="348"/>
      <c r="H6" s="348"/>
      <c r="I6" s="348"/>
      <c r="J6" s="348"/>
      <c r="K6" s="348" t="s">
        <v>97</v>
      </c>
      <c r="L6" s="349"/>
      <c r="N6" s="829"/>
    </row>
    <row r="7" spans="1:27" x14ac:dyDescent="0.2">
      <c r="D7" s="350"/>
      <c r="E7" s="351" t="s">
        <v>88</v>
      </c>
      <c r="F7" s="351" t="s">
        <v>95</v>
      </c>
      <c r="G7" s="351"/>
      <c r="H7" s="351" t="s">
        <v>361</v>
      </c>
      <c r="I7" s="351" t="s">
        <v>429</v>
      </c>
      <c r="J7" s="351"/>
      <c r="K7" s="352" t="s">
        <v>362</v>
      </c>
      <c r="L7" s="353"/>
      <c r="M7" s="354" t="s">
        <v>430</v>
      </c>
      <c r="N7" s="829"/>
    </row>
    <row r="8" spans="1:27" ht="12" customHeight="1" x14ac:dyDescent="0.2">
      <c r="A8" s="831" t="s">
        <v>431</v>
      </c>
      <c r="B8" s="831"/>
      <c r="C8" s="832"/>
      <c r="D8" s="351" t="s">
        <v>93</v>
      </c>
      <c r="E8" s="355" t="s">
        <v>94</v>
      </c>
      <c r="F8" s="355" t="s">
        <v>363</v>
      </c>
      <c r="G8" s="355" t="s">
        <v>96</v>
      </c>
      <c r="H8" s="355" t="s">
        <v>364</v>
      </c>
      <c r="I8" s="355" t="s">
        <v>432</v>
      </c>
      <c r="J8" s="355" t="s">
        <v>365</v>
      </c>
      <c r="K8" s="352" t="s">
        <v>433</v>
      </c>
      <c r="L8" s="356" t="s">
        <v>367</v>
      </c>
      <c r="M8" s="354" t="s">
        <v>434</v>
      </c>
      <c r="N8" s="829"/>
    </row>
    <row r="9" spans="1:27" x14ac:dyDescent="0.2">
      <c r="A9" s="833"/>
      <c r="B9" s="833"/>
      <c r="C9" s="834"/>
      <c r="D9" s="357">
        <v>6100</v>
      </c>
      <c r="E9" s="357">
        <v>6200</v>
      </c>
      <c r="F9" s="357">
        <v>6500</v>
      </c>
      <c r="G9" s="357">
        <v>6600</v>
      </c>
      <c r="H9" s="357">
        <v>6810</v>
      </c>
      <c r="I9" s="357">
        <v>6820</v>
      </c>
      <c r="J9" s="357">
        <v>6890</v>
      </c>
      <c r="K9" s="357" t="s">
        <v>435</v>
      </c>
      <c r="L9" s="356" t="s">
        <v>370</v>
      </c>
      <c r="M9" s="358" t="s">
        <v>436</v>
      </c>
      <c r="N9" s="830"/>
    </row>
    <row r="10" spans="1:27" ht="12.75" customHeight="1" x14ac:dyDescent="0.2">
      <c r="A10" s="359" t="s">
        <v>206</v>
      </c>
      <c r="B10" s="360"/>
      <c r="C10" s="361" t="s">
        <v>24</v>
      </c>
      <c r="D10" s="362">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1679975</v>
      </c>
      <c r="E10" s="362">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466340</v>
      </c>
      <c r="F10" s="362">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2">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152604</v>
      </c>
      <c r="H10" s="362">
        <v>0</v>
      </c>
      <c r="I10" s="363"/>
      <c r="J10" s="362"/>
      <c r="K10" s="362">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2">
        <v>0</v>
      </c>
      <c r="M10" s="362">
        <v>0</v>
      </c>
      <c r="N10" s="364">
        <f t="shared" ref="N10:N18" si="0">ROUND(SUM(D10:M10),0)</f>
        <v>2298919</v>
      </c>
      <c r="O10" s="365"/>
    </row>
    <row r="11" spans="1:27" x14ac:dyDescent="0.2">
      <c r="A11" s="366" t="s">
        <v>437</v>
      </c>
      <c r="B11" s="636"/>
      <c r="C11" s="367" t="s">
        <v>26</v>
      </c>
      <c r="D11" s="362">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571472</v>
      </c>
      <c r="E11" s="362">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157611</v>
      </c>
      <c r="F11" s="362">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62">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72</v>
      </c>
      <c r="H11" s="362">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3"/>
      <c r="J11" s="362">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2">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2">
        <v>0</v>
      </c>
      <c r="M11" s="362">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4">
        <f t="shared" si="0"/>
        <v>729155</v>
      </c>
      <c r="O11" s="365"/>
    </row>
    <row r="12" spans="1:27" x14ac:dyDescent="0.2">
      <c r="A12" s="366" t="s">
        <v>438</v>
      </c>
      <c r="B12" s="636"/>
      <c r="C12" s="367" t="s">
        <v>28</v>
      </c>
      <c r="D12" s="362">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198786</v>
      </c>
      <c r="E12" s="362">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367473</v>
      </c>
      <c r="F12" s="362">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2">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2">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2">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2">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2">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2">
        <v>0</v>
      </c>
      <c r="M12" s="368">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4">
        <f t="shared" si="0"/>
        <v>566259</v>
      </c>
      <c r="O12" s="365"/>
      <c r="AA12" s="369">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70" t="s">
        <v>211</v>
      </c>
      <c r="B13" s="371"/>
      <c r="C13" s="372" t="s">
        <v>31</v>
      </c>
      <c r="D13" s="362">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93772</v>
      </c>
      <c r="E13" s="362">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24851</v>
      </c>
      <c r="F13" s="362">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2">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2">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3"/>
      <c r="J13" s="362">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2">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2">
        <v>0</v>
      </c>
      <c r="M13" s="362">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4">
        <f t="shared" si="0"/>
        <v>118623</v>
      </c>
      <c r="O13" s="373"/>
    </row>
    <row r="14" spans="1:27" x14ac:dyDescent="0.2">
      <c r="A14" s="366" t="s">
        <v>439</v>
      </c>
      <c r="B14" s="636"/>
      <c r="C14" s="372" t="s">
        <v>33</v>
      </c>
      <c r="D14" s="362">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2">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2">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2">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2">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3"/>
      <c r="J14" s="362">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2">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2">
        <v>0</v>
      </c>
      <c r="M14" s="362">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4">
        <f t="shared" si="0"/>
        <v>0</v>
      </c>
      <c r="O14" s="373"/>
    </row>
    <row r="15" spans="1:27" x14ac:dyDescent="0.2">
      <c r="A15" s="374" t="s">
        <v>217</v>
      </c>
      <c r="B15" s="375"/>
      <c r="C15" s="372" t="s">
        <v>35</v>
      </c>
      <c r="D15" s="362">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2">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2">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10</v>
      </c>
      <c r="G15" s="362">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2">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3"/>
      <c r="J15" s="362">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2">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2">
        <v>0</v>
      </c>
      <c r="M15" s="362">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4">
        <f t="shared" si="0"/>
        <v>10</v>
      </c>
      <c r="O15" s="373"/>
    </row>
    <row r="16" spans="1:27" x14ac:dyDescent="0.2">
      <c r="A16" s="374" t="s">
        <v>440</v>
      </c>
      <c r="B16" s="375"/>
      <c r="C16" s="372" t="s">
        <v>37</v>
      </c>
      <c r="D16" s="362">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2">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2">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2">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2">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3"/>
      <c r="J16" s="362">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2">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2">
        <v>0</v>
      </c>
      <c r="M16" s="362">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4">
        <f t="shared" si="0"/>
        <v>0</v>
      </c>
      <c r="O16" s="373"/>
    </row>
    <row r="17" spans="1:16" x14ac:dyDescent="0.2">
      <c r="A17" s="374" t="s">
        <v>441</v>
      </c>
      <c r="B17" s="375"/>
      <c r="C17" s="372" t="s">
        <v>39</v>
      </c>
      <c r="D17" s="362">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2">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2">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2">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2">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3"/>
      <c r="J17" s="362">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2">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2">
        <v>0</v>
      </c>
      <c r="M17" s="362">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4">
        <f t="shared" si="0"/>
        <v>0</v>
      </c>
    </row>
    <row r="18" spans="1:16" x14ac:dyDescent="0.2">
      <c r="A18" s="376" t="s">
        <v>97</v>
      </c>
      <c r="B18" s="377"/>
      <c r="C18" s="378" t="s">
        <v>41</v>
      </c>
      <c r="D18" s="362">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1</v>
      </c>
      <c r="E18" s="362">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2">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2">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2">
        <v>0</v>
      </c>
      <c r="I18" s="363"/>
      <c r="J18" s="362">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2">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2">
        <v>0</v>
      </c>
      <c r="M18" s="362">
        <f>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4">
        <f t="shared" si="0"/>
        <v>1</v>
      </c>
      <c r="O18" s="373"/>
      <c r="P18" s="373"/>
    </row>
    <row r="19" spans="1:16" x14ac:dyDescent="0.2">
      <c r="A19" s="379" t="s">
        <v>442</v>
      </c>
      <c r="B19" s="380"/>
      <c r="C19" s="381" t="s">
        <v>43</v>
      </c>
      <c r="D19" s="382">
        <f>SUM(D10:D18)</f>
        <v>2544006</v>
      </c>
      <c r="E19" s="382">
        <f t="shared" ref="E19:L19" si="1">SUM(E10:E18)</f>
        <v>1016275</v>
      </c>
      <c r="F19" s="382">
        <f t="shared" si="1"/>
        <v>10</v>
      </c>
      <c r="G19" s="382">
        <f t="shared" si="1"/>
        <v>152676</v>
      </c>
      <c r="H19" s="704">
        <f t="shared" si="1"/>
        <v>0</v>
      </c>
      <c r="I19" s="382">
        <f t="shared" si="1"/>
        <v>0</v>
      </c>
      <c r="J19" s="382">
        <f t="shared" si="1"/>
        <v>0</v>
      </c>
      <c r="K19" s="382">
        <f t="shared" si="1"/>
        <v>0</v>
      </c>
      <c r="L19" s="382">
        <f t="shared" si="1"/>
        <v>0</v>
      </c>
      <c r="M19" s="382">
        <f>SUM(M10:M18)</f>
        <v>0</v>
      </c>
      <c r="N19" s="364">
        <f>ROUND(SUM(D19:M19),0)</f>
        <v>3712967</v>
      </c>
      <c r="O19" s="373"/>
    </row>
    <row r="20" spans="1:16" x14ac:dyDescent="0.2">
      <c r="H20" s="333"/>
      <c r="I20" s="333"/>
      <c r="J20" s="333"/>
      <c r="K20" s="333"/>
      <c r="L20" s="383"/>
    </row>
    <row r="21" spans="1:16" ht="34.5" customHeight="1" x14ac:dyDescent="0.2">
      <c r="A21" s="841" t="s">
        <v>443</v>
      </c>
      <c r="B21" s="842"/>
      <c r="C21" s="843"/>
      <c r="D21" s="686" t="s">
        <v>444</v>
      </c>
      <c r="E21" s="33" t="s">
        <v>445</v>
      </c>
      <c r="G21" s="384" t="s">
        <v>446</v>
      </c>
      <c r="H21" s="385"/>
      <c r="I21" s="385"/>
      <c r="J21" s="386"/>
      <c r="L21" s="387" t="s">
        <v>447</v>
      </c>
      <c r="M21" s="388"/>
      <c r="N21" s="388"/>
      <c r="O21" s="389"/>
    </row>
    <row r="22" spans="1:16" x14ac:dyDescent="0.2">
      <c r="A22" s="390" t="s">
        <v>448</v>
      </c>
      <c r="B22" s="391"/>
      <c r="C22" s="392"/>
      <c r="D22" s="34">
        <v>0</v>
      </c>
      <c r="E22" s="35">
        <v>0</v>
      </c>
      <c r="G22" s="393" t="s">
        <v>449</v>
      </c>
      <c r="H22" s="394"/>
      <c r="I22" s="395"/>
      <c r="J22" s="34">
        <v>0</v>
      </c>
      <c r="L22" s="393" t="s">
        <v>450</v>
      </c>
      <c r="M22" s="394"/>
      <c r="N22" s="395"/>
      <c r="O22" s="36">
        <f>ROUND(SUM(SUMIFS('Accounting data'!G2:G65536,'Accounting data'!H2:H65536,"1310-1399-C*",'Accounting data'!K2:K65536,"69*")),0)+ROUND(SUM(SUMIFS('Accounting data'!G2:G65536,'Accounting data'!H2:H65536,"1227*",'Accounting data'!K2:K65536,"69*")),0)+ROUND(SUM(SUMIFS('Accounting data'!G2:G65536,'Accounting data'!H2:H65536,"1228*",'Accounting data'!K2:K65536,"69*")),0)-1</f>
        <v>265</v>
      </c>
    </row>
    <row r="23" spans="1:16" x14ac:dyDescent="0.2">
      <c r="A23" s="393" t="s">
        <v>451</v>
      </c>
      <c r="B23" s="394"/>
      <c r="C23" s="395"/>
      <c r="D23" s="34">
        <v>0</v>
      </c>
      <c r="E23" s="45">
        <v>0</v>
      </c>
      <c r="G23" s="396" t="s">
        <v>452</v>
      </c>
      <c r="H23" s="397"/>
      <c r="I23" s="395"/>
      <c r="J23" s="34">
        <v>0</v>
      </c>
    </row>
    <row r="24" spans="1:16" x14ac:dyDescent="0.2">
      <c r="A24" s="393" t="s">
        <v>453</v>
      </c>
      <c r="B24" s="394"/>
      <c r="C24" s="398"/>
      <c r="D24" s="34">
        <v>0</v>
      </c>
      <c r="E24" s="593">
        <v>0</v>
      </c>
      <c r="G24" s="634" t="s">
        <v>454</v>
      </c>
      <c r="H24" s="635"/>
      <c r="I24" s="395"/>
      <c r="J24" s="34">
        <v>0</v>
      </c>
      <c r="L24" s="384" t="s">
        <v>455</v>
      </c>
      <c r="M24" s="385"/>
      <c r="N24" s="385"/>
      <c r="O24" s="386"/>
    </row>
    <row r="25" spans="1:16" x14ac:dyDescent="0.2">
      <c r="A25" s="393" t="s">
        <v>456</v>
      </c>
      <c r="B25" s="394"/>
      <c r="C25" s="398"/>
      <c r="D25" s="34">
        <v>0</v>
      </c>
      <c r="E25" s="593">
        <v>0</v>
      </c>
      <c r="G25" s="634" t="s">
        <v>457</v>
      </c>
      <c r="H25" s="635"/>
      <c r="I25" s="395"/>
      <c r="J25" s="34">
        <v>0</v>
      </c>
      <c r="L25" s="400" t="s">
        <v>458</v>
      </c>
      <c r="M25" s="401"/>
      <c r="N25" s="398"/>
      <c r="O25" s="34">
        <v>0</v>
      </c>
    </row>
    <row r="26" spans="1:16" x14ac:dyDescent="0.2">
      <c r="A26" s="393" t="s">
        <v>459</v>
      </c>
      <c r="B26" s="394"/>
      <c r="C26" s="398"/>
      <c r="D26" s="34">
        <v>0</v>
      </c>
      <c r="E26" s="593">
        <v>0</v>
      </c>
      <c r="G26" s="634" t="s">
        <v>460</v>
      </c>
      <c r="H26" s="635"/>
      <c r="I26" s="395"/>
      <c r="J26" s="34">
        <v>0</v>
      </c>
      <c r="L26" s="400" t="s">
        <v>461</v>
      </c>
      <c r="M26" s="401"/>
      <c r="N26" s="398"/>
      <c r="O26" s="34">
        <v>0</v>
      </c>
    </row>
    <row r="27" spans="1:16" x14ac:dyDescent="0.2">
      <c r="A27" s="402" t="s">
        <v>462</v>
      </c>
      <c r="B27" s="403"/>
      <c r="C27" s="404"/>
      <c r="D27" s="34">
        <v>0</v>
      </c>
      <c r="E27" s="35">
        <v>0</v>
      </c>
      <c r="L27" s="400" t="s">
        <v>463</v>
      </c>
      <c r="M27" s="401"/>
      <c r="N27" s="398"/>
      <c r="O27" s="34">
        <v>0</v>
      </c>
    </row>
    <row r="28" spans="1:16" x14ac:dyDescent="0.2">
      <c r="A28" s="405" t="s">
        <v>464</v>
      </c>
      <c r="B28" s="406"/>
      <c r="C28" s="407"/>
      <c r="D28" s="37">
        <v>0</v>
      </c>
      <c r="E28" s="399">
        <f>D28</f>
        <v>0</v>
      </c>
      <c r="L28" s="334"/>
      <c r="M28" s="334"/>
      <c r="N28" s="334"/>
      <c r="O28" s="38"/>
    </row>
    <row r="29" spans="1:16" x14ac:dyDescent="0.2">
      <c r="A29" s="844"/>
      <c r="B29" s="844"/>
      <c r="C29" s="844"/>
      <c r="D29" s="408"/>
    </row>
    <row r="30" spans="1:16" ht="15" customHeight="1" x14ac:dyDescent="0.2">
      <c r="A30" s="343"/>
      <c r="B30" s="343"/>
      <c r="C30" s="343"/>
      <c r="D30" s="343"/>
      <c r="G30" s="384" t="s">
        <v>465</v>
      </c>
      <c r="H30" s="385"/>
      <c r="I30" s="385"/>
      <c r="J30" s="386"/>
      <c r="L30" s="835" t="str">
        <f>IF(OR(D19&lt;0,E19&lt;0,F19&lt;0,G19&lt;0,H19&lt;0,J19&lt;0,K19&lt;0,L19&lt;0,M19&lt;0,N19&lt;0),"Line 9 in the current expenses table should not contain negative amounts. Click the instruction link in cell A18 for more information.","")</f>
        <v/>
      </c>
      <c r="M30" s="835" t="str">
        <f t="shared" ref="M30:P32" si="2">IF(OR(E19&lt;0,F19&lt;0,G19&lt;0,H19&lt;0,I19&lt;0,K19&lt;0,L19&lt;0,M19&lt;0,N19&lt;0,O19&lt;0),"Table A, line 9 should not contain negative amounts. Click the the instruction link in cell A18 for more information.","")</f>
        <v/>
      </c>
      <c r="N30" s="835" t="str">
        <f t="shared" si="2"/>
        <v/>
      </c>
      <c r="O30" s="835" t="str">
        <f t="shared" si="2"/>
        <v/>
      </c>
      <c r="P30" s="835" t="str">
        <f t="shared" si="2"/>
        <v/>
      </c>
    </row>
    <row r="31" spans="1:16" ht="15" customHeight="1" x14ac:dyDescent="0.2">
      <c r="E31" s="409"/>
      <c r="G31" s="410" t="s">
        <v>466</v>
      </c>
      <c r="H31" s="394"/>
      <c r="I31" s="394"/>
      <c r="J31" s="411">
        <f>ROUND(SUMIFS('Accounting data'!G2:G65536,'Accounting data'!H2:H65536,"1310-1399-C*",'Accounting data'!K2:K65536,"685*"),0)</f>
        <v>0</v>
      </c>
      <c r="L31" s="835" t="str">
        <f>IF(OR(D20&lt;0,E20&lt;0,F20&lt;0,G20&lt;0,H20&lt;0,J20&lt;0,K20&lt;0,L20&lt;0,M20&lt;0,N20&lt;0),"Table A, line 9 should not contain negative amounts. Click the the instruction link in cell A18 for more information.","")</f>
        <v/>
      </c>
      <c r="M31" s="835" t="str">
        <f t="shared" si="2"/>
        <v/>
      </c>
      <c r="N31" s="835" t="str">
        <f t="shared" si="2"/>
        <v/>
      </c>
      <c r="O31" s="835" t="str">
        <f t="shared" si="2"/>
        <v/>
      </c>
      <c r="P31" s="835" t="str">
        <f t="shared" si="2"/>
        <v/>
      </c>
    </row>
    <row r="32" spans="1:16" ht="15" customHeight="1" x14ac:dyDescent="0.2">
      <c r="E32" s="365"/>
      <c r="G32" s="410" t="s">
        <v>467</v>
      </c>
      <c r="H32" s="394"/>
      <c r="I32" s="394"/>
      <c r="J32" s="34">
        <v>0</v>
      </c>
      <c r="L32" s="835" t="str">
        <f>IF(OR(D21&lt;0,E21&lt;0,F21&lt;0,G21&lt;0,H21&lt;0,J21&lt;0,K21&lt;0,L21&lt;0,M21&lt;0,N21&lt;0),"Table A, line 9 should not contain negative amounts. Click the the instruction link in cell A18 for more information.","")</f>
        <v/>
      </c>
      <c r="M32" s="835" t="str">
        <f t="shared" si="2"/>
        <v/>
      </c>
      <c r="N32" s="835" t="str">
        <f t="shared" si="2"/>
        <v/>
      </c>
      <c r="O32" s="835" t="str">
        <f t="shared" si="2"/>
        <v/>
      </c>
      <c r="P32" s="835" t="str">
        <f t="shared" si="2"/>
        <v/>
      </c>
    </row>
    <row r="33" spans="1:49" ht="12.75" customHeight="1" x14ac:dyDescent="0.2">
      <c r="E33" s="412"/>
      <c r="K33" s="413"/>
      <c r="L33" s="39"/>
      <c r="M33" s="39"/>
      <c r="N33" s="40"/>
      <c r="O33" s="39"/>
      <c r="AB33" s="340" t="s">
        <v>468</v>
      </c>
    </row>
    <row r="34" spans="1:49" ht="11.25" customHeight="1" x14ac:dyDescent="0.2">
      <c r="E34" s="414"/>
      <c r="G34" s="334"/>
      <c r="M34" s="415"/>
      <c r="N34" s="416"/>
      <c r="O34" s="416"/>
    </row>
    <row r="35" spans="1:49" ht="37.5" customHeight="1" x14ac:dyDescent="0.2">
      <c r="A35" s="848" t="s">
        <v>469</v>
      </c>
      <c r="B35" s="849"/>
      <c r="C35" s="850"/>
      <c r="D35" s="821" t="s">
        <v>470</v>
      </c>
      <c r="E35" s="821" t="s">
        <v>1196</v>
      </c>
      <c r="F35" s="821" t="s">
        <v>1197</v>
      </c>
      <c r="G35" s="821" t="s">
        <v>471</v>
      </c>
      <c r="J35" s="384" t="s">
        <v>472</v>
      </c>
      <c r="K35" s="57"/>
      <c r="L35" s="57"/>
      <c r="M35" s="57"/>
      <c r="N35" s="58"/>
      <c r="R35" s="333"/>
      <c r="V35" s="339"/>
      <c r="AD35" s="340"/>
      <c r="AJ35" s="341"/>
      <c r="AW35" s="339"/>
    </row>
    <row r="36" spans="1:49" ht="25.5" customHeight="1" x14ac:dyDescent="0.2">
      <c r="A36" s="851"/>
      <c r="B36" s="852"/>
      <c r="C36" s="853"/>
      <c r="D36" s="822"/>
      <c r="E36" s="822"/>
      <c r="F36" s="822"/>
      <c r="G36" s="822"/>
      <c r="J36" s="854" t="s">
        <v>473</v>
      </c>
      <c r="K36" s="855"/>
      <c r="L36" s="855"/>
      <c r="M36" s="856"/>
      <c r="N36" s="421">
        <v>0</v>
      </c>
      <c r="Q36" s="41"/>
      <c r="R36" s="42"/>
      <c r="V36" s="339"/>
      <c r="AD36" s="340"/>
      <c r="AJ36" s="341"/>
      <c r="AW36" s="339"/>
    </row>
    <row r="37" spans="1:49" ht="12.75" customHeight="1" x14ac:dyDescent="0.2">
      <c r="A37" s="43" t="s">
        <v>474</v>
      </c>
      <c r="B37" s="44"/>
      <c r="C37" s="44"/>
      <c r="D37" s="45">
        <v>60874</v>
      </c>
      <c r="E37" s="45">
        <v>60874</v>
      </c>
      <c r="F37" s="363"/>
      <c r="G37" s="363"/>
      <c r="J37" s="854" t="s">
        <v>475</v>
      </c>
      <c r="K37" s="855"/>
      <c r="L37" s="855"/>
      <c r="M37" s="856"/>
      <c r="N37" s="421">
        <v>0</v>
      </c>
      <c r="R37" s="333"/>
      <c r="V37" s="339"/>
      <c r="AD37" s="340"/>
      <c r="AJ37" s="341"/>
      <c r="AW37" s="339"/>
    </row>
    <row r="38" spans="1:49" ht="12.75" customHeight="1" x14ac:dyDescent="0.2">
      <c r="A38" s="43" t="s">
        <v>476</v>
      </c>
      <c r="B38" s="44"/>
      <c r="C38" s="44"/>
      <c r="D38" s="45">
        <v>251795</v>
      </c>
      <c r="E38" s="45">
        <v>251795</v>
      </c>
      <c r="F38" s="45">
        <v>0</v>
      </c>
      <c r="G38" s="382">
        <f>ROUND(D38-E38-F38,0)</f>
        <v>0</v>
      </c>
      <c r="J38" s="854" t="s">
        <v>477</v>
      </c>
      <c r="K38" s="855"/>
      <c r="L38" s="855"/>
      <c r="M38" s="856"/>
      <c r="N38" s="421">
        <v>0</v>
      </c>
      <c r="R38" s="333"/>
      <c r="V38" s="339"/>
      <c r="AD38" s="340"/>
      <c r="AJ38" s="341"/>
      <c r="AW38" s="339"/>
    </row>
    <row r="39" spans="1:49" ht="12.75" customHeight="1" x14ac:dyDescent="0.2">
      <c r="A39" s="43" t="s">
        <v>478</v>
      </c>
      <c r="B39" s="44"/>
      <c r="C39" s="44"/>
      <c r="D39" s="45">
        <v>332310</v>
      </c>
      <c r="E39" s="45">
        <v>332310</v>
      </c>
      <c r="F39" s="45">
        <v>0</v>
      </c>
      <c r="G39" s="382">
        <f>ROUND(D39-E39-F39,0)</f>
        <v>0</v>
      </c>
      <c r="J39" s="845" t="s">
        <v>479</v>
      </c>
      <c r="K39" s="846"/>
      <c r="L39" s="846"/>
      <c r="M39" s="847"/>
      <c r="N39" s="422">
        <v>0</v>
      </c>
      <c r="R39" s="333"/>
      <c r="V39" s="339"/>
      <c r="AD39" s="340"/>
      <c r="AJ39" s="341"/>
      <c r="AW39" s="339"/>
    </row>
    <row r="40" spans="1:49" ht="12.75" customHeight="1" x14ac:dyDescent="0.2">
      <c r="A40" s="43" t="s">
        <v>480</v>
      </c>
      <c r="B40" s="44"/>
      <c r="C40" s="44"/>
      <c r="D40" s="45">
        <f>500000+9600000</f>
        <v>10100000</v>
      </c>
      <c r="E40" s="45">
        <f>500000+5890313</f>
        <v>6390313</v>
      </c>
      <c r="F40" s="45">
        <v>3709687</v>
      </c>
      <c r="G40" s="382">
        <f>ROUND(D40-E40-F40,0)</f>
        <v>0</v>
      </c>
      <c r="J40" s="845" t="s">
        <v>481</v>
      </c>
      <c r="K40" s="846"/>
      <c r="L40" s="846"/>
      <c r="M40" s="847"/>
      <c r="N40" s="423">
        <f>ROUND(N36-N37-N39,0)</f>
        <v>0</v>
      </c>
      <c r="R40" s="333"/>
      <c r="V40" s="339"/>
      <c r="AD40" s="340"/>
      <c r="AJ40" s="341"/>
      <c r="AW40" s="339"/>
    </row>
    <row r="41" spans="1:49" ht="12.75" customHeight="1" x14ac:dyDescent="0.2">
      <c r="A41" s="43" t="s">
        <v>482</v>
      </c>
      <c r="B41" s="44"/>
      <c r="C41" s="44"/>
      <c r="D41" s="45">
        <v>750000</v>
      </c>
      <c r="E41" s="45">
        <v>750000</v>
      </c>
      <c r="F41" s="45">
        <v>0</v>
      </c>
      <c r="G41" s="382">
        <f>ROUND(D41-E41-F41,0)</f>
        <v>0</v>
      </c>
    </row>
    <row r="42" spans="1:49" ht="12.75" customHeight="1" x14ac:dyDescent="0.2">
      <c r="A42" s="46" t="s">
        <v>483</v>
      </c>
      <c r="B42" s="44"/>
      <c r="C42" s="44"/>
      <c r="D42" s="45">
        <f>3453+92.13</f>
        <v>3545</v>
      </c>
      <c r="E42" s="45">
        <v>0</v>
      </c>
      <c r="F42" s="45">
        <f>3453+92.13</f>
        <v>3545</v>
      </c>
      <c r="G42" s="382">
        <f>ROUND(D42-E42-F42,0)</f>
        <v>0</v>
      </c>
    </row>
    <row r="43" spans="1:49" ht="12.75" customHeight="1" x14ac:dyDescent="0.2">
      <c r="A43" s="836" t="s">
        <v>484</v>
      </c>
      <c r="B43" s="837"/>
      <c r="C43" s="838"/>
      <c r="D43" s="417">
        <f>ROUND(SUM(D37:D42),0)</f>
        <v>11498524</v>
      </c>
      <c r="E43" s="417">
        <f>ROUND(SUM(E37:E42),0)</f>
        <v>7785292</v>
      </c>
      <c r="F43" s="417">
        <f>ROUND(SUM(F37:F42),0)</f>
        <v>3713232</v>
      </c>
      <c r="G43" s="417">
        <f>ROUND(SUM(G37:G42),0)</f>
        <v>0</v>
      </c>
    </row>
    <row r="44" spans="1:49" x14ac:dyDescent="0.2">
      <c r="F44" s="418"/>
    </row>
    <row r="45" spans="1:49" x14ac:dyDescent="0.2">
      <c r="E45" s="685" t="s">
        <v>1195</v>
      </c>
      <c r="F45" s="47">
        <f>ROUND(N19+O22+O25+O26+O27+J31+J32,0)</f>
        <v>3713232</v>
      </c>
      <c r="H45" s="839" t="str">
        <f>IF(OR(G37&lt;0,G38&lt;0,G39&lt;0,G40&lt;0,G41&lt;0,G42&lt;0,G43&lt;0),"Column G should not contain negative amounts. Click the instruction link in cell G36 for more information.","")</f>
        <v/>
      </c>
      <c r="I45" s="840"/>
      <c r="J45" s="840"/>
      <c r="K45" s="840"/>
    </row>
    <row r="46" spans="1:49" ht="12.75" customHeight="1" x14ac:dyDescent="0.2">
      <c r="A46" s="419"/>
      <c r="B46" s="419"/>
      <c r="C46" s="420"/>
      <c r="F46" s="839" t="str">
        <f>IF(F45&lt;&gt;F43,"Total in cell F43 should agree to amount in cell F45","")</f>
        <v/>
      </c>
      <c r="G46" s="839"/>
      <c r="H46" s="840"/>
      <c r="I46" s="840"/>
      <c r="J46" s="840"/>
      <c r="K46" s="840"/>
    </row>
    <row r="47" spans="1:49" ht="12.75" customHeight="1" x14ac:dyDescent="0.2">
      <c r="A47" s="419"/>
      <c r="B47" s="419"/>
      <c r="C47" s="420"/>
      <c r="F47" s="839"/>
      <c r="G47" s="839"/>
      <c r="H47" s="840"/>
      <c r="I47" s="840"/>
      <c r="J47" s="840"/>
      <c r="K47" s="840"/>
    </row>
    <row r="48" spans="1:49" ht="12.75" customHeight="1" x14ac:dyDescent="0.2">
      <c r="A48" s="420"/>
      <c r="B48" s="420"/>
      <c r="C48" s="420"/>
      <c r="F48" s="839"/>
      <c r="G48" s="839"/>
      <c r="H48" s="840"/>
      <c r="I48" s="840"/>
      <c r="J48" s="840"/>
      <c r="K48" s="840"/>
    </row>
    <row r="49" spans="1:7" ht="12.75" customHeight="1" x14ac:dyDescent="0.2">
      <c r="A49" s="420"/>
      <c r="B49" s="420"/>
      <c r="C49" s="420"/>
      <c r="F49" s="839"/>
      <c r="G49" s="839"/>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topLeftCell="A4" zoomScaleNormal="100" workbookViewId="0">
      <selection activeCell="I6" sqref="I6"/>
    </sheetView>
  </sheetViews>
  <sheetFormatPr defaultColWidth="9.33203125" defaultRowHeight="12.75" x14ac:dyDescent="0.2"/>
  <cols>
    <col min="1" max="1" width="38.1640625" style="425" customWidth="1"/>
    <col min="2" max="3" width="16.33203125" style="425" customWidth="1"/>
    <col min="4" max="4" width="15.1640625" style="425" customWidth="1"/>
    <col min="5" max="5" width="15.6640625" style="425" customWidth="1"/>
    <col min="6" max="6" width="15.1640625" style="425" customWidth="1"/>
    <col min="7" max="7" width="16.33203125" style="425" customWidth="1"/>
    <col min="8" max="8" width="19.33203125" style="425" customWidth="1"/>
    <col min="9" max="10" width="15.6640625" style="425" customWidth="1"/>
    <col min="11" max="11" width="17" style="425" customWidth="1"/>
    <col min="12" max="12" width="8.83203125" style="425" customWidth="1"/>
    <col min="13" max="13" width="5.33203125" style="425" customWidth="1"/>
    <col min="14" max="14" width="12.33203125" style="425" customWidth="1"/>
    <col min="15" max="255" width="8.83203125" style="425" customWidth="1"/>
    <col min="256" max="256" width="32.33203125" style="425" bestFit="1" customWidth="1"/>
    <col min="257" max="257" width="22.1640625" style="425" customWidth="1"/>
    <col min="258" max="258" width="14.33203125" style="425" customWidth="1"/>
    <col min="259" max="259" width="19" style="425" customWidth="1"/>
    <col min="260" max="260" width="8.83203125" style="425" customWidth="1"/>
    <col min="261" max="261" width="11.33203125" style="425" customWidth="1"/>
    <col min="262" max="262" width="8.83203125" style="425" customWidth="1"/>
    <col min="263" max="263" width="6.33203125" style="425" customWidth="1"/>
    <col min="264" max="264" width="14.33203125" style="425" customWidth="1"/>
    <col min="265" max="268" width="8.83203125" style="425" customWidth="1"/>
    <col min="269" max="269" width="17.83203125" style="425" customWidth="1"/>
    <col min="270" max="511" width="8.83203125" style="425" customWidth="1"/>
    <col min="512" max="512" width="32.33203125" style="425" bestFit="1" customWidth="1"/>
    <col min="513" max="513" width="22.1640625" style="425" customWidth="1"/>
    <col min="514" max="514" width="14.33203125" style="425" customWidth="1"/>
    <col min="515" max="515" width="19" style="425" customWidth="1"/>
    <col min="516" max="516" width="8.83203125" style="425" customWidth="1"/>
    <col min="517" max="517" width="11.33203125" style="425" customWidth="1"/>
    <col min="518" max="518" width="8.83203125" style="425" customWidth="1"/>
    <col min="519" max="519" width="6.33203125" style="425" customWidth="1"/>
    <col min="520" max="520" width="14.33203125" style="425" customWidth="1"/>
    <col min="521" max="524" width="8.83203125" style="425" customWidth="1"/>
    <col min="525" max="525" width="17.83203125" style="425" customWidth="1"/>
    <col min="526" max="767" width="8.83203125" style="425" customWidth="1"/>
    <col min="768" max="768" width="32.33203125" style="425" bestFit="1" customWidth="1"/>
    <col min="769" max="769" width="22.1640625" style="425" customWidth="1"/>
    <col min="770" max="770" width="14.33203125" style="425" customWidth="1"/>
    <col min="771" max="771" width="19" style="425" customWidth="1"/>
    <col min="772" max="772" width="8.83203125" style="425" customWidth="1"/>
    <col min="773" max="773" width="11.33203125" style="425" customWidth="1"/>
    <col min="774" max="774" width="8.83203125" style="425" customWidth="1"/>
    <col min="775" max="775" width="6.33203125" style="425" customWidth="1"/>
    <col min="776" max="776" width="14.33203125" style="425" customWidth="1"/>
    <col min="777" max="780" width="8.83203125" style="425" customWidth="1"/>
    <col min="781" max="781" width="17.83203125" style="425" customWidth="1"/>
    <col min="782" max="1023" width="8.83203125" style="425" customWidth="1"/>
    <col min="1024" max="1024" width="32.33203125" style="425" bestFit="1" customWidth="1"/>
    <col min="1025" max="1025" width="22.1640625" style="425" customWidth="1"/>
    <col min="1026" max="1026" width="14.33203125" style="425" customWidth="1"/>
    <col min="1027" max="1027" width="19" style="425" customWidth="1"/>
    <col min="1028" max="1028" width="8.83203125" style="425" customWidth="1"/>
    <col min="1029" max="1029" width="11.33203125" style="425" customWidth="1"/>
    <col min="1030" max="1030" width="8.83203125" style="425" customWidth="1"/>
    <col min="1031" max="1031" width="6.33203125" style="425" customWidth="1"/>
    <col min="1032" max="1032" width="14.33203125" style="425" customWidth="1"/>
    <col min="1033" max="1036" width="8.83203125" style="425" customWidth="1"/>
    <col min="1037" max="1037" width="17.83203125" style="425" customWidth="1"/>
    <col min="1038" max="1279" width="8.83203125" style="425" customWidth="1"/>
    <col min="1280" max="1280" width="32.33203125" style="425" bestFit="1" customWidth="1"/>
    <col min="1281" max="1281" width="22.1640625" style="425" customWidth="1"/>
    <col min="1282" max="1282" width="14.33203125" style="425" customWidth="1"/>
    <col min="1283" max="1283" width="19" style="425" customWidth="1"/>
    <col min="1284" max="1284" width="8.83203125" style="425" customWidth="1"/>
    <col min="1285" max="1285" width="11.33203125" style="425" customWidth="1"/>
    <col min="1286" max="1286" width="8.83203125" style="425" customWidth="1"/>
    <col min="1287" max="1287" width="6.33203125" style="425" customWidth="1"/>
    <col min="1288" max="1288" width="14.33203125" style="425" customWidth="1"/>
    <col min="1289" max="1292" width="8.83203125" style="425" customWidth="1"/>
    <col min="1293" max="1293" width="17.83203125" style="425" customWidth="1"/>
    <col min="1294" max="1535" width="8.83203125" style="425" customWidth="1"/>
    <col min="1536" max="1536" width="32.33203125" style="425" bestFit="1" customWidth="1"/>
    <col min="1537" max="1537" width="22.1640625" style="425" customWidth="1"/>
    <col min="1538" max="1538" width="14.33203125" style="425" customWidth="1"/>
    <col min="1539" max="1539" width="19" style="425" customWidth="1"/>
    <col min="1540" max="1540" width="8.83203125" style="425" customWidth="1"/>
    <col min="1541" max="1541" width="11.33203125" style="425" customWidth="1"/>
    <col min="1542" max="1542" width="8.83203125" style="425" customWidth="1"/>
    <col min="1543" max="1543" width="6.33203125" style="425" customWidth="1"/>
    <col min="1544" max="1544" width="14.33203125" style="425" customWidth="1"/>
    <col min="1545" max="1548" width="8.83203125" style="425" customWidth="1"/>
    <col min="1549" max="1549" width="17.83203125" style="425" customWidth="1"/>
    <col min="1550" max="1791" width="8.83203125" style="425" customWidth="1"/>
    <col min="1792" max="1792" width="32.33203125" style="425" bestFit="1" customWidth="1"/>
    <col min="1793" max="1793" width="22.1640625" style="425" customWidth="1"/>
    <col min="1794" max="1794" width="14.33203125" style="425" customWidth="1"/>
    <col min="1795" max="1795" width="19" style="425" customWidth="1"/>
    <col min="1796" max="1796" width="8.83203125" style="425" customWidth="1"/>
    <col min="1797" max="1797" width="11.33203125" style="425" customWidth="1"/>
    <col min="1798" max="1798" width="8.83203125" style="425" customWidth="1"/>
    <col min="1799" max="1799" width="6.33203125" style="425" customWidth="1"/>
    <col min="1800" max="1800" width="14.33203125" style="425" customWidth="1"/>
    <col min="1801" max="1804" width="8.83203125" style="425" customWidth="1"/>
    <col min="1805" max="1805" width="17.83203125" style="425" customWidth="1"/>
    <col min="1806" max="2047" width="8.83203125" style="425" customWidth="1"/>
    <col min="2048" max="2048" width="32.33203125" style="425" bestFit="1" customWidth="1"/>
    <col min="2049" max="2049" width="22.1640625" style="425" customWidth="1"/>
    <col min="2050" max="2050" width="14.33203125" style="425" customWidth="1"/>
    <col min="2051" max="2051" width="19" style="425" customWidth="1"/>
    <col min="2052" max="2052" width="8.83203125" style="425" customWidth="1"/>
    <col min="2053" max="2053" width="11.33203125" style="425" customWidth="1"/>
    <col min="2054" max="2054" width="8.83203125" style="425" customWidth="1"/>
    <col min="2055" max="2055" width="6.33203125" style="425" customWidth="1"/>
    <col min="2056" max="2056" width="14.33203125" style="425" customWidth="1"/>
    <col min="2057" max="2060" width="8.83203125" style="425" customWidth="1"/>
    <col min="2061" max="2061" width="17.83203125" style="425" customWidth="1"/>
    <col min="2062" max="2303" width="8.83203125" style="425" customWidth="1"/>
    <col min="2304" max="2304" width="32.33203125" style="425" bestFit="1" customWidth="1"/>
    <col min="2305" max="2305" width="22.1640625" style="425" customWidth="1"/>
    <col min="2306" max="2306" width="14.33203125" style="425" customWidth="1"/>
    <col min="2307" max="2307" width="19" style="425" customWidth="1"/>
    <col min="2308" max="2308" width="8.83203125" style="425" customWidth="1"/>
    <col min="2309" max="2309" width="11.33203125" style="425" customWidth="1"/>
    <col min="2310" max="2310" width="8.83203125" style="425" customWidth="1"/>
    <col min="2311" max="2311" width="6.33203125" style="425" customWidth="1"/>
    <col min="2312" max="2312" width="14.33203125" style="425" customWidth="1"/>
    <col min="2313" max="2316" width="8.83203125" style="425" customWidth="1"/>
    <col min="2317" max="2317" width="17.83203125" style="425" customWidth="1"/>
    <col min="2318" max="2559" width="8.83203125" style="425" customWidth="1"/>
    <col min="2560" max="2560" width="32.33203125" style="425" bestFit="1" customWidth="1"/>
    <col min="2561" max="2561" width="22.1640625" style="425" customWidth="1"/>
    <col min="2562" max="2562" width="14.33203125" style="425" customWidth="1"/>
    <col min="2563" max="2563" width="19" style="425" customWidth="1"/>
    <col min="2564" max="2564" width="8.83203125" style="425" customWidth="1"/>
    <col min="2565" max="2565" width="11.33203125" style="425" customWidth="1"/>
    <col min="2566" max="2566" width="8.83203125" style="425" customWidth="1"/>
    <col min="2567" max="2567" width="6.33203125" style="425" customWidth="1"/>
    <col min="2568" max="2568" width="14.33203125" style="425" customWidth="1"/>
    <col min="2569" max="2572" width="8.83203125" style="425" customWidth="1"/>
    <col min="2573" max="2573" width="17.83203125" style="425" customWidth="1"/>
    <col min="2574" max="2815" width="8.83203125" style="425" customWidth="1"/>
    <col min="2816" max="2816" width="32.33203125" style="425" bestFit="1" customWidth="1"/>
    <col min="2817" max="2817" width="22.1640625" style="425" customWidth="1"/>
    <col min="2818" max="2818" width="14.33203125" style="425" customWidth="1"/>
    <col min="2819" max="2819" width="19" style="425" customWidth="1"/>
    <col min="2820" max="2820" width="8.83203125" style="425" customWidth="1"/>
    <col min="2821" max="2821" width="11.33203125" style="425" customWidth="1"/>
    <col min="2822" max="2822" width="8.83203125" style="425" customWidth="1"/>
    <col min="2823" max="2823" width="6.33203125" style="425" customWidth="1"/>
    <col min="2824" max="2824" width="14.33203125" style="425" customWidth="1"/>
    <col min="2825" max="2828" width="8.83203125" style="425" customWidth="1"/>
    <col min="2829" max="2829" width="17.83203125" style="425" customWidth="1"/>
    <col min="2830" max="3071" width="8.83203125" style="425" customWidth="1"/>
    <col min="3072" max="3072" width="32.33203125" style="425" bestFit="1" customWidth="1"/>
    <col min="3073" max="3073" width="22.1640625" style="425" customWidth="1"/>
    <col min="3074" max="3074" width="14.33203125" style="425" customWidth="1"/>
    <col min="3075" max="3075" width="19" style="425" customWidth="1"/>
    <col min="3076" max="3076" width="8.83203125" style="425" customWidth="1"/>
    <col min="3077" max="3077" width="11.33203125" style="425" customWidth="1"/>
    <col min="3078" max="3078" width="8.83203125" style="425" customWidth="1"/>
    <col min="3079" max="3079" width="6.33203125" style="425" customWidth="1"/>
    <col min="3080" max="3080" width="14.33203125" style="425" customWidth="1"/>
    <col min="3081" max="3084" width="8.83203125" style="425" customWidth="1"/>
    <col min="3085" max="3085" width="17.83203125" style="425" customWidth="1"/>
    <col min="3086" max="3327" width="8.83203125" style="425" customWidth="1"/>
    <col min="3328" max="3328" width="32.33203125" style="425" bestFit="1" customWidth="1"/>
    <col min="3329" max="3329" width="22.1640625" style="425" customWidth="1"/>
    <col min="3330" max="3330" width="14.33203125" style="425" customWidth="1"/>
    <col min="3331" max="3331" width="19" style="425" customWidth="1"/>
    <col min="3332" max="3332" width="8.83203125" style="425" customWidth="1"/>
    <col min="3333" max="3333" width="11.33203125" style="425" customWidth="1"/>
    <col min="3334" max="3334" width="8.83203125" style="425" customWidth="1"/>
    <col min="3335" max="3335" width="6.33203125" style="425" customWidth="1"/>
    <col min="3336" max="3336" width="14.33203125" style="425" customWidth="1"/>
    <col min="3337" max="3340" width="8.83203125" style="425" customWidth="1"/>
    <col min="3341" max="3341" width="17.83203125" style="425" customWidth="1"/>
    <col min="3342" max="3583" width="8.83203125" style="425" customWidth="1"/>
    <col min="3584" max="3584" width="32.33203125" style="425" bestFit="1" customWidth="1"/>
    <col min="3585" max="3585" width="22.1640625" style="425" customWidth="1"/>
    <col min="3586" max="3586" width="14.33203125" style="425" customWidth="1"/>
    <col min="3587" max="3587" width="19" style="425" customWidth="1"/>
    <col min="3588" max="3588" width="8.83203125" style="425" customWidth="1"/>
    <col min="3589" max="3589" width="11.33203125" style="425" customWidth="1"/>
    <col min="3590" max="3590" width="8.83203125" style="425" customWidth="1"/>
    <col min="3591" max="3591" width="6.33203125" style="425" customWidth="1"/>
    <col min="3592" max="3592" width="14.33203125" style="425" customWidth="1"/>
    <col min="3593" max="3596" width="8.83203125" style="425" customWidth="1"/>
    <col min="3597" max="3597" width="17.83203125" style="425" customWidth="1"/>
    <col min="3598" max="3839" width="8.83203125" style="425" customWidth="1"/>
    <col min="3840" max="3840" width="32.33203125" style="425" bestFit="1" customWidth="1"/>
    <col min="3841" max="3841" width="22.1640625" style="425" customWidth="1"/>
    <col min="3842" max="3842" width="14.33203125" style="425" customWidth="1"/>
    <col min="3843" max="3843" width="19" style="425" customWidth="1"/>
    <col min="3844" max="3844" width="8.83203125" style="425" customWidth="1"/>
    <col min="3845" max="3845" width="11.33203125" style="425" customWidth="1"/>
    <col min="3846" max="3846" width="8.83203125" style="425" customWidth="1"/>
    <col min="3847" max="3847" width="6.33203125" style="425" customWidth="1"/>
    <col min="3848" max="3848" width="14.33203125" style="425" customWidth="1"/>
    <col min="3849" max="3852" width="8.83203125" style="425" customWidth="1"/>
    <col min="3853" max="3853" width="17.83203125" style="425" customWidth="1"/>
    <col min="3854" max="4095" width="8.83203125" style="425" customWidth="1"/>
    <col min="4096" max="4096" width="32.33203125" style="425" bestFit="1" customWidth="1"/>
    <col min="4097" max="4097" width="22.1640625" style="425" customWidth="1"/>
    <col min="4098" max="4098" width="14.33203125" style="425" customWidth="1"/>
    <col min="4099" max="4099" width="19" style="425" customWidth="1"/>
    <col min="4100" max="4100" width="8.83203125" style="425" customWidth="1"/>
    <col min="4101" max="4101" width="11.33203125" style="425" customWidth="1"/>
    <col min="4102" max="4102" width="8.83203125" style="425" customWidth="1"/>
    <col min="4103" max="4103" width="6.33203125" style="425" customWidth="1"/>
    <col min="4104" max="4104" width="14.33203125" style="425" customWidth="1"/>
    <col min="4105" max="4108" width="8.83203125" style="425" customWidth="1"/>
    <col min="4109" max="4109" width="17.83203125" style="425" customWidth="1"/>
    <col min="4110" max="4351" width="8.83203125" style="425" customWidth="1"/>
    <col min="4352" max="4352" width="32.33203125" style="425" bestFit="1" customWidth="1"/>
    <col min="4353" max="4353" width="22.1640625" style="425" customWidth="1"/>
    <col min="4354" max="4354" width="14.33203125" style="425" customWidth="1"/>
    <col min="4355" max="4355" width="19" style="425" customWidth="1"/>
    <col min="4356" max="4356" width="8.83203125" style="425" customWidth="1"/>
    <col min="4357" max="4357" width="11.33203125" style="425" customWidth="1"/>
    <col min="4358" max="4358" width="8.83203125" style="425" customWidth="1"/>
    <col min="4359" max="4359" width="6.33203125" style="425" customWidth="1"/>
    <col min="4360" max="4360" width="14.33203125" style="425" customWidth="1"/>
    <col min="4361" max="4364" width="8.83203125" style="425" customWidth="1"/>
    <col min="4365" max="4365" width="17.83203125" style="425" customWidth="1"/>
    <col min="4366" max="4607" width="8.83203125" style="425" customWidth="1"/>
    <col min="4608" max="4608" width="32.33203125" style="425" bestFit="1" customWidth="1"/>
    <col min="4609" max="4609" width="22.1640625" style="425" customWidth="1"/>
    <col min="4610" max="4610" width="14.33203125" style="425" customWidth="1"/>
    <col min="4611" max="4611" width="19" style="425" customWidth="1"/>
    <col min="4612" max="4612" width="8.83203125" style="425" customWidth="1"/>
    <col min="4613" max="4613" width="11.33203125" style="425" customWidth="1"/>
    <col min="4614" max="4614" width="8.83203125" style="425" customWidth="1"/>
    <col min="4615" max="4615" width="6.33203125" style="425" customWidth="1"/>
    <col min="4616" max="4616" width="14.33203125" style="425" customWidth="1"/>
    <col min="4617" max="4620" width="8.83203125" style="425" customWidth="1"/>
    <col min="4621" max="4621" width="17.83203125" style="425" customWidth="1"/>
    <col min="4622" max="4863" width="8.83203125" style="425" customWidth="1"/>
    <col min="4864" max="4864" width="32.33203125" style="425" bestFit="1" customWidth="1"/>
    <col min="4865" max="4865" width="22.1640625" style="425" customWidth="1"/>
    <col min="4866" max="4866" width="14.33203125" style="425" customWidth="1"/>
    <col min="4867" max="4867" width="19" style="425" customWidth="1"/>
    <col min="4868" max="4868" width="8.83203125" style="425" customWidth="1"/>
    <col min="4869" max="4869" width="11.33203125" style="425" customWidth="1"/>
    <col min="4870" max="4870" width="8.83203125" style="425" customWidth="1"/>
    <col min="4871" max="4871" width="6.33203125" style="425" customWidth="1"/>
    <col min="4872" max="4872" width="14.33203125" style="425" customWidth="1"/>
    <col min="4873" max="4876" width="8.83203125" style="425" customWidth="1"/>
    <col min="4877" max="4877" width="17.83203125" style="425" customWidth="1"/>
    <col min="4878" max="5119" width="8.83203125" style="425" customWidth="1"/>
    <col min="5120" max="5120" width="32.33203125" style="425" bestFit="1" customWidth="1"/>
    <col min="5121" max="5121" width="22.1640625" style="425" customWidth="1"/>
    <col min="5122" max="5122" width="14.33203125" style="425" customWidth="1"/>
    <col min="5123" max="5123" width="19" style="425" customWidth="1"/>
    <col min="5124" max="5124" width="8.83203125" style="425" customWidth="1"/>
    <col min="5125" max="5125" width="11.33203125" style="425" customWidth="1"/>
    <col min="5126" max="5126" width="8.83203125" style="425" customWidth="1"/>
    <col min="5127" max="5127" width="6.33203125" style="425" customWidth="1"/>
    <col min="5128" max="5128" width="14.33203125" style="425" customWidth="1"/>
    <col min="5129" max="5132" width="8.83203125" style="425" customWidth="1"/>
    <col min="5133" max="5133" width="17.83203125" style="425" customWidth="1"/>
    <col min="5134" max="5375" width="8.83203125" style="425" customWidth="1"/>
    <col min="5376" max="5376" width="32.33203125" style="425" bestFit="1" customWidth="1"/>
    <col min="5377" max="5377" width="22.1640625" style="425" customWidth="1"/>
    <col min="5378" max="5378" width="14.33203125" style="425" customWidth="1"/>
    <col min="5379" max="5379" width="19" style="425" customWidth="1"/>
    <col min="5380" max="5380" width="8.83203125" style="425" customWidth="1"/>
    <col min="5381" max="5381" width="11.33203125" style="425" customWidth="1"/>
    <col min="5382" max="5382" width="8.83203125" style="425" customWidth="1"/>
    <col min="5383" max="5383" width="6.33203125" style="425" customWidth="1"/>
    <col min="5384" max="5384" width="14.33203125" style="425" customWidth="1"/>
    <col min="5385" max="5388" width="8.83203125" style="425" customWidth="1"/>
    <col min="5389" max="5389" width="17.83203125" style="425" customWidth="1"/>
    <col min="5390" max="5631" width="8.83203125" style="425" customWidth="1"/>
    <col min="5632" max="5632" width="32.33203125" style="425" bestFit="1" customWidth="1"/>
    <col min="5633" max="5633" width="22.1640625" style="425" customWidth="1"/>
    <col min="5634" max="5634" width="14.33203125" style="425" customWidth="1"/>
    <col min="5635" max="5635" width="19" style="425" customWidth="1"/>
    <col min="5636" max="5636" width="8.83203125" style="425" customWidth="1"/>
    <col min="5637" max="5637" width="11.33203125" style="425" customWidth="1"/>
    <col min="5638" max="5638" width="8.83203125" style="425" customWidth="1"/>
    <col min="5639" max="5639" width="6.33203125" style="425" customWidth="1"/>
    <col min="5640" max="5640" width="14.33203125" style="425" customWidth="1"/>
    <col min="5641" max="5644" width="8.83203125" style="425" customWidth="1"/>
    <col min="5645" max="5645" width="17.83203125" style="425" customWidth="1"/>
    <col min="5646" max="5887" width="8.83203125" style="425" customWidth="1"/>
    <col min="5888" max="5888" width="32.33203125" style="425" bestFit="1" customWidth="1"/>
    <col min="5889" max="5889" width="22.1640625" style="425" customWidth="1"/>
    <col min="5890" max="5890" width="14.33203125" style="425" customWidth="1"/>
    <col min="5891" max="5891" width="19" style="425" customWidth="1"/>
    <col min="5892" max="5892" width="8.83203125" style="425" customWidth="1"/>
    <col min="5893" max="5893" width="11.33203125" style="425" customWidth="1"/>
    <col min="5894" max="5894" width="8.83203125" style="425" customWidth="1"/>
    <col min="5895" max="5895" width="6.33203125" style="425" customWidth="1"/>
    <col min="5896" max="5896" width="14.33203125" style="425" customWidth="1"/>
    <col min="5897" max="5900" width="8.83203125" style="425" customWidth="1"/>
    <col min="5901" max="5901" width="17.83203125" style="425" customWidth="1"/>
    <col min="5902" max="6143" width="8.83203125" style="425" customWidth="1"/>
    <col min="6144" max="6144" width="32.33203125" style="425" bestFit="1" customWidth="1"/>
    <col min="6145" max="6145" width="22.1640625" style="425" customWidth="1"/>
    <col min="6146" max="6146" width="14.33203125" style="425" customWidth="1"/>
    <col min="6147" max="6147" width="19" style="425" customWidth="1"/>
    <col min="6148" max="6148" width="8.83203125" style="425" customWidth="1"/>
    <col min="6149" max="6149" width="11.33203125" style="425" customWidth="1"/>
    <col min="6150" max="6150" width="8.83203125" style="425" customWidth="1"/>
    <col min="6151" max="6151" width="6.33203125" style="425" customWidth="1"/>
    <col min="6152" max="6152" width="14.33203125" style="425" customWidth="1"/>
    <col min="6153" max="6156" width="8.83203125" style="425" customWidth="1"/>
    <col min="6157" max="6157" width="17.83203125" style="425" customWidth="1"/>
    <col min="6158" max="6399" width="8.83203125" style="425" customWidth="1"/>
    <col min="6400" max="6400" width="32.33203125" style="425" bestFit="1" customWidth="1"/>
    <col min="6401" max="6401" width="22.1640625" style="425" customWidth="1"/>
    <col min="6402" max="6402" width="14.33203125" style="425" customWidth="1"/>
    <col min="6403" max="6403" width="19" style="425" customWidth="1"/>
    <col min="6404" max="6404" width="8.83203125" style="425" customWidth="1"/>
    <col min="6405" max="6405" width="11.33203125" style="425" customWidth="1"/>
    <col min="6406" max="6406" width="8.83203125" style="425" customWidth="1"/>
    <col min="6407" max="6407" width="6.33203125" style="425" customWidth="1"/>
    <col min="6408" max="6408" width="14.33203125" style="425" customWidth="1"/>
    <col min="6409" max="6412" width="8.83203125" style="425" customWidth="1"/>
    <col min="6413" max="6413" width="17.83203125" style="425" customWidth="1"/>
    <col min="6414" max="6655" width="8.83203125" style="425" customWidth="1"/>
    <col min="6656" max="6656" width="32.33203125" style="425" bestFit="1" customWidth="1"/>
    <col min="6657" max="6657" width="22.1640625" style="425" customWidth="1"/>
    <col min="6658" max="6658" width="14.33203125" style="425" customWidth="1"/>
    <col min="6659" max="6659" width="19" style="425" customWidth="1"/>
    <col min="6660" max="6660" width="8.83203125" style="425" customWidth="1"/>
    <col min="6661" max="6661" width="11.33203125" style="425" customWidth="1"/>
    <col min="6662" max="6662" width="8.83203125" style="425" customWidth="1"/>
    <col min="6663" max="6663" width="6.33203125" style="425" customWidth="1"/>
    <col min="6664" max="6664" width="14.33203125" style="425" customWidth="1"/>
    <col min="6665" max="6668" width="8.83203125" style="425" customWidth="1"/>
    <col min="6669" max="6669" width="17.83203125" style="425" customWidth="1"/>
    <col min="6670" max="6911" width="8.83203125" style="425" customWidth="1"/>
    <col min="6912" max="6912" width="32.33203125" style="425" bestFit="1" customWidth="1"/>
    <col min="6913" max="6913" width="22.1640625" style="425" customWidth="1"/>
    <col min="6914" max="6914" width="14.33203125" style="425" customWidth="1"/>
    <col min="6915" max="6915" width="19" style="425" customWidth="1"/>
    <col min="6916" max="6916" width="8.83203125" style="425" customWidth="1"/>
    <col min="6917" max="6917" width="11.33203125" style="425" customWidth="1"/>
    <col min="6918" max="6918" width="8.83203125" style="425" customWidth="1"/>
    <col min="6919" max="6919" width="6.33203125" style="425" customWidth="1"/>
    <col min="6920" max="6920" width="14.33203125" style="425" customWidth="1"/>
    <col min="6921" max="6924" width="8.83203125" style="425" customWidth="1"/>
    <col min="6925" max="6925" width="17.83203125" style="425" customWidth="1"/>
    <col min="6926" max="7167" width="8.83203125" style="425" customWidth="1"/>
    <col min="7168" max="7168" width="32.33203125" style="425" bestFit="1" customWidth="1"/>
    <col min="7169" max="7169" width="22.1640625" style="425" customWidth="1"/>
    <col min="7170" max="7170" width="14.33203125" style="425" customWidth="1"/>
    <col min="7171" max="7171" width="19" style="425" customWidth="1"/>
    <col min="7172" max="7172" width="8.83203125" style="425" customWidth="1"/>
    <col min="7173" max="7173" width="11.33203125" style="425" customWidth="1"/>
    <col min="7174" max="7174" width="8.83203125" style="425" customWidth="1"/>
    <col min="7175" max="7175" width="6.33203125" style="425" customWidth="1"/>
    <col min="7176" max="7176" width="14.33203125" style="425" customWidth="1"/>
    <col min="7177" max="7180" width="8.83203125" style="425" customWidth="1"/>
    <col min="7181" max="7181" width="17.83203125" style="425" customWidth="1"/>
    <col min="7182" max="7423" width="8.83203125" style="425" customWidth="1"/>
    <col min="7424" max="7424" width="32.33203125" style="425" bestFit="1" customWidth="1"/>
    <col min="7425" max="7425" width="22.1640625" style="425" customWidth="1"/>
    <col min="7426" max="7426" width="14.33203125" style="425" customWidth="1"/>
    <col min="7427" max="7427" width="19" style="425" customWidth="1"/>
    <col min="7428" max="7428" width="8.83203125" style="425" customWidth="1"/>
    <col min="7429" max="7429" width="11.33203125" style="425" customWidth="1"/>
    <col min="7430" max="7430" width="8.83203125" style="425" customWidth="1"/>
    <col min="7431" max="7431" width="6.33203125" style="425" customWidth="1"/>
    <col min="7432" max="7432" width="14.33203125" style="425" customWidth="1"/>
    <col min="7433" max="7436" width="8.83203125" style="425" customWidth="1"/>
    <col min="7437" max="7437" width="17.83203125" style="425" customWidth="1"/>
    <col min="7438" max="7679" width="8.83203125" style="425" customWidth="1"/>
    <col min="7680" max="7680" width="32.33203125" style="425" bestFit="1" customWidth="1"/>
    <col min="7681" max="7681" width="22.1640625" style="425" customWidth="1"/>
    <col min="7682" max="7682" width="14.33203125" style="425" customWidth="1"/>
    <col min="7683" max="7683" width="19" style="425" customWidth="1"/>
    <col min="7684" max="7684" width="8.83203125" style="425" customWidth="1"/>
    <col min="7685" max="7685" width="11.33203125" style="425" customWidth="1"/>
    <col min="7686" max="7686" width="8.83203125" style="425" customWidth="1"/>
    <col min="7687" max="7687" width="6.33203125" style="425" customWidth="1"/>
    <col min="7688" max="7688" width="14.33203125" style="425" customWidth="1"/>
    <col min="7689" max="7692" width="8.83203125" style="425" customWidth="1"/>
    <col min="7693" max="7693" width="17.83203125" style="425" customWidth="1"/>
    <col min="7694" max="7935" width="8.83203125" style="425" customWidth="1"/>
    <col min="7936" max="7936" width="32.33203125" style="425" bestFit="1" customWidth="1"/>
    <col min="7937" max="7937" width="22.1640625" style="425" customWidth="1"/>
    <col min="7938" max="7938" width="14.33203125" style="425" customWidth="1"/>
    <col min="7939" max="7939" width="19" style="425" customWidth="1"/>
    <col min="7940" max="7940" width="8.83203125" style="425" customWidth="1"/>
    <col min="7941" max="7941" width="11.33203125" style="425" customWidth="1"/>
    <col min="7942" max="7942" width="8.83203125" style="425" customWidth="1"/>
    <col min="7943" max="7943" width="6.33203125" style="425" customWidth="1"/>
    <col min="7944" max="7944" width="14.33203125" style="425" customWidth="1"/>
    <col min="7945" max="7948" width="8.83203125" style="425" customWidth="1"/>
    <col min="7949" max="7949" width="17.83203125" style="425" customWidth="1"/>
    <col min="7950" max="8191" width="8.83203125" style="425" customWidth="1"/>
    <col min="8192" max="8192" width="32.33203125" style="425" bestFit="1" customWidth="1"/>
    <col min="8193" max="8193" width="22.1640625" style="425" customWidth="1"/>
    <col min="8194" max="8194" width="14.33203125" style="425" customWidth="1"/>
    <col min="8195" max="8195" width="19" style="425" customWidth="1"/>
    <col min="8196" max="8196" width="8.83203125" style="425" customWidth="1"/>
    <col min="8197" max="8197" width="11.33203125" style="425" customWidth="1"/>
    <col min="8198" max="8198" width="8.83203125" style="425" customWidth="1"/>
    <col min="8199" max="8199" width="6.33203125" style="425" customWidth="1"/>
    <col min="8200" max="8200" width="14.33203125" style="425" customWidth="1"/>
    <col min="8201" max="8204" width="8.83203125" style="425" customWidth="1"/>
    <col min="8205" max="8205" width="17.83203125" style="425" customWidth="1"/>
    <col min="8206" max="8447" width="8.83203125" style="425" customWidth="1"/>
    <col min="8448" max="8448" width="32.33203125" style="425" bestFit="1" customWidth="1"/>
    <col min="8449" max="8449" width="22.1640625" style="425" customWidth="1"/>
    <col min="8450" max="8450" width="14.33203125" style="425" customWidth="1"/>
    <col min="8451" max="8451" width="19" style="425" customWidth="1"/>
    <col min="8452" max="8452" width="8.83203125" style="425" customWidth="1"/>
    <col min="8453" max="8453" width="11.33203125" style="425" customWidth="1"/>
    <col min="8454" max="8454" width="8.83203125" style="425" customWidth="1"/>
    <col min="8455" max="8455" width="6.33203125" style="425" customWidth="1"/>
    <col min="8456" max="8456" width="14.33203125" style="425" customWidth="1"/>
    <col min="8457" max="8460" width="8.83203125" style="425" customWidth="1"/>
    <col min="8461" max="8461" width="17.83203125" style="425" customWidth="1"/>
    <col min="8462" max="8703" width="8.83203125" style="425" customWidth="1"/>
    <col min="8704" max="8704" width="32.33203125" style="425" bestFit="1" customWidth="1"/>
    <col min="8705" max="8705" width="22.1640625" style="425" customWidth="1"/>
    <col min="8706" max="8706" width="14.33203125" style="425" customWidth="1"/>
    <col min="8707" max="8707" width="19" style="425" customWidth="1"/>
    <col min="8708" max="8708" width="8.83203125" style="425" customWidth="1"/>
    <col min="8709" max="8709" width="11.33203125" style="425" customWidth="1"/>
    <col min="8710" max="8710" width="8.83203125" style="425" customWidth="1"/>
    <col min="8711" max="8711" width="6.33203125" style="425" customWidth="1"/>
    <col min="8712" max="8712" width="14.33203125" style="425" customWidth="1"/>
    <col min="8713" max="8716" width="8.83203125" style="425" customWidth="1"/>
    <col min="8717" max="8717" width="17.83203125" style="425" customWidth="1"/>
    <col min="8718" max="8959" width="8.83203125" style="425" customWidth="1"/>
    <col min="8960" max="8960" width="32.33203125" style="425" bestFit="1" customWidth="1"/>
    <col min="8961" max="8961" width="22.1640625" style="425" customWidth="1"/>
    <col min="8962" max="8962" width="14.33203125" style="425" customWidth="1"/>
    <col min="8963" max="8963" width="19" style="425" customWidth="1"/>
    <col min="8964" max="8964" width="8.83203125" style="425" customWidth="1"/>
    <col min="8965" max="8965" width="11.33203125" style="425" customWidth="1"/>
    <col min="8966" max="8966" width="8.83203125" style="425" customWidth="1"/>
    <col min="8967" max="8967" width="6.33203125" style="425" customWidth="1"/>
    <col min="8968" max="8968" width="14.33203125" style="425" customWidth="1"/>
    <col min="8969" max="8972" width="8.83203125" style="425" customWidth="1"/>
    <col min="8973" max="8973" width="17.83203125" style="425" customWidth="1"/>
    <col min="8974" max="9215" width="8.83203125" style="425" customWidth="1"/>
    <col min="9216" max="9216" width="32.33203125" style="425" bestFit="1" customWidth="1"/>
    <col min="9217" max="9217" width="22.1640625" style="425" customWidth="1"/>
    <col min="9218" max="9218" width="14.33203125" style="425" customWidth="1"/>
    <col min="9219" max="9219" width="19" style="425" customWidth="1"/>
    <col min="9220" max="9220" width="8.83203125" style="425" customWidth="1"/>
    <col min="9221" max="9221" width="11.33203125" style="425" customWidth="1"/>
    <col min="9222" max="9222" width="8.83203125" style="425" customWidth="1"/>
    <col min="9223" max="9223" width="6.33203125" style="425" customWidth="1"/>
    <col min="9224" max="9224" width="14.33203125" style="425" customWidth="1"/>
    <col min="9225" max="9228" width="8.83203125" style="425" customWidth="1"/>
    <col min="9229" max="9229" width="17.83203125" style="425" customWidth="1"/>
    <col min="9230" max="9471" width="8.83203125" style="425" customWidth="1"/>
    <col min="9472" max="9472" width="32.33203125" style="425" bestFit="1" customWidth="1"/>
    <col min="9473" max="9473" width="22.1640625" style="425" customWidth="1"/>
    <col min="9474" max="9474" width="14.33203125" style="425" customWidth="1"/>
    <col min="9475" max="9475" width="19" style="425" customWidth="1"/>
    <col min="9476" max="9476" width="8.83203125" style="425" customWidth="1"/>
    <col min="9477" max="9477" width="11.33203125" style="425" customWidth="1"/>
    <col min="9478" max="9478" width="8.83203125" style="425" customWidth="1"/>
    <col min="9479" max="9479" width="6.33203125" style="425" customWidth="1"/>
    <col min="9480" max="9480" width="14.33203125" style="425" customWidth="1"/>
    <col min="9481" max="9484" width="8.83203125" style="425" customWidth="1"/>
    <col min="9485" max="9485" width="17.83203125" style="425" customWidth="1"/>
    <col min="9486" max="9727" width="8.83203125" style="425" customWidth="1"/>
    <col min="9728" max="9728" width="32.33203125" style="425" bestFit="1" customWidth="1"/>
    <col min="9729" max="9729" width="22.1640625" style="425" customWidth="1"/>
    <col min="9730" max="9730" width="14.33203125" style="425" customWidth="1"/>
    <col min="9731" max="9731" width="19" style="425" customWidth="1"/>
    <col min="9732" max="9732" width="8.83203125" style="425" customWidth="1"/>
    <col min="9733" max="9733" width="11.33203125" style="425" customWidth="1"/>
    <col min="9734" max="9734" width="8.83203125" style="425" customWidth="1"/>
    <col min="9735" max="9735" width="6.33203125" style="425" customWidth="1"/>
    <col min="9736" max="9736" width="14.33203125" style="425" customWidth="1"/>
    <col min="9737" max="9740" width="8.83203125" style="425" customWidth="1"/>
    <col min="9741" max="9741" width="17.83203125" style="425" customWidth="1"/>
    <col min="9742" max="9983" width="8.83203125" style="425" customWidth="1"/>
    <col min="9984" max="9984" width="32.33203125" style="425" bestFit="1" customWidth="1"/>
    <col min="9985" max="9985" width="22.1640625" style="425" customWidth="1"/>
    <col min="9986" max="9986" width="14.33203125" style="425" customWidth="1"/>
    <col min="9987" max="9987" width="19" style="425" customWidth="1"/>
    <col min="9988" max="9988" width="8.83203125" style="425" customWidth="1"/>
    <col min="9989" max="9989" width="11.33203125" style="425" customWidth="1"/>
    <col min="9990" max="9990" width="8.83203125" style="425" customWidth="1"/>
    <col min="9991" max="9991" width="6.33203125" style="425" customWidth="1"/>
    <col min="9992" max="9992" width="14.33203125" style="425" customWidth="1"/>
    <col min="9993" max="9996" width="8.83203125" style="425" customWidth="1"/>
    <col min="9997" max="9997" width="17.83203125" style="425" customWidth="1"/>
    <col min="9998" max="10239" width="8.83203125" style="425" customWidth="1"/>
    <col min="10240" max="10240" width="32.33203125" style="425" bestFit="1" customWidth="1"/>
    <col min="10241" max="10241" width="22.1640625" style="425" customWidth="1"/>
    <col min="10242" max="10242" width="14.33203125" style="425" customWidth="1"/>
    <col min="10243" max="10243" width="19" style="425" customWidth="1"/>
    <col min="10244" max="10244" width="8.83203125" style="425" customWidth="1"/>
    <col min="10245" max="10245" width="11.33203125" style="425" customWidth="1"/>
    <col min="10246" max="10246" width="8.83203125" style="425" customWidth="1"/>
    <col min="10247" max="10247" width="6.33203125" style="425" customWidth="1"/>
    <col min="10248" max="10248" width="14.33203125" style="425" customWidth="1"/>
    <col min="10249" max="10252" width="8.83203125" style="425" customWidth="1"/>
    <col min="10253" max="10253" width="17.83203125" style="425" customWidth="1"/>
    <col min="10254" max="10495" width="8.83203125" style="425" customWidth="1"/>
    <col min="10496" max="10496" width="32.33203125" style="425" bestFit="1" customWidth="1"/>
    <col min="10497" max="10497" width="22.1640625" style="425" customWidth="1"/>
    <col min="10498" max="10498" width="14.33203125" style="425" customWidth="1"/>
    <col min="10499" max="10499" width="19" style="425" customWidth="1"/>
    <col min="10500" max="10500" width="8.83203125" style="425" customWidth="1"/>
    <col min="10501" max="10501" width="11.33203125" style="425" customWidth="1"/>
    <col min="10502" max="10502" width="8.83203125" style="425" customWidth="1"/>
    <col min="10503" max="10503" width="6.33203125" style="425" customWidth="1"/>
    <col min="10504" max="10504" width="14.33203125" style="425" customWidth="1"/>
    <col min="10505" max="10508" width="8.83203125" style="425" customWidth="1"/>
    <col min="10509" max="10509" width="17.83203125" style="425" customWidth="1"/>
    <col min="10510" max="10751" width="8.83203125" style="425" customWidth="1"/>
    <col min="10752" max="10752" width="32.33203125" style="425" bestFit="1" customWidth="1"/>
    <col min="10753" max="10753" width="22.1640625" style="425" customWidth="1"/>
    <col min="10754" max="10754" width="14.33203125" style="425" customWidth="1"/>
    <col min="10755" max="10755" width="19" style="425" customWidth="1"/>
    <col min="10756" max="10756" width="8.83203125" style="425" customWidth="1"/>
    <col min="10757" max="10757" width="11.33203125" style="425" customWidth="1"/>
    <col min="10758" max="10758" width="8.83203125" style="425" customWidth="1"/>
    <col min="10759" max="10759" width="6.33203125" style="425" customWidth="1"/>
    <col min="10760" max="10760" width="14.33203125" style="425" customWidth="1"/>
    <col min="10761" max="10764" width="8.83203125" style="425" customWidth="1"/>
    <col min="10765" max="10765" width="17.83203125" style="425" customWidth="1"/>
    <col min="10766" max="11007" width="8.83203125" style="425" customWidth="1"/>
    <col min="11008" max="11008" width="32.33203125" style="425" bestFit="1" customWidth="1"/>
    <col min="11009" max="11009" width="22.1640625" style="425" customWidth="1"/>
    <col min="11010" max="11010" width="14.33203125" style="425" customWidth="1"/>
    <col min="11011" max="11011" width="19" style="425" customWidth="1"/>
    <col min="11012" max="11012" width="8.83203125" style="425" customWidth="1"/>
    <col min="11013" max="11013" width="11.33203125" style="425" customWidth="1"/>
    <col min="11014" max="11014" width="8.83203125" style="425" customWidth="1"/>
    <col min="11015" max="11015" width="6.33203125" style="425" customWidth="1"/>
    <col min="11016" max="11016" width="14.33203125" style="425" customWidth="1"/>
    <col min="11017" max="11020" width="8.83203125" style="425" customWidth="1"/>
    <col min="11021" max="11021" width="17.83203125" style="425" customWidth="1"/>
    <col min="11022" max="11263" width="8.83203125" style="425" customWidth="1"/>
    <col min="11264" max="11264" width="32.33203125" style="425" bestFit="1" customWidth="1"/>
    <col min="11265" max="11265" width="22.1640625" style="425" customWidth="1"/>
    <col min="11266" max="11266" width="14.33203125" style="425" customWidth="1"/>
    <col min="11267" max="11267" width="19" style="425" customWidth="1"/>
    <col min="11268" max="11268" width="8.83203125" style="425" customWidth="1"/>
    <col min="11269" max="11269" width="11.33203125" style="425" customWidth="1"/>
    <col min="11270" max="11270" width="8.83203125" style="425" customWidth="1"/>
    <col min="11271" max="11271" width="6.33203125" style="425" customWidth="1"/>
    <col min="11272" max="11272" width="14.33203125" style="425" customWidth="1"/>
    <col min="11273" max="11276" width="8.83203125" style="425" customWidth="1"/>
    <col min="11277" max="11277" width="17.83203125" style="425" customWidth="1"/>
    <col min="11278" max="11519" width="8.83203125" style="425" customWidth="1"/>
    <col min="11520" max="11520" width="32.33203125" style="425" bestFit="1" customWidth="1"/>
    <col min="11521" max="11521" width="22.1640625" style="425" customWidth="1"/>
    <col min="11522" max="11522" width="14.33203125" style="425" customWidth="1"/>
    <col min="11523" max="11523" width="19" style="425" customWidth="1"/>
    <col min="11524" max="11524" width="8.83203125" style="425" customWidth="1"/>
    <col min="11525" max="11525" width="11.33203125" style="425" customWidth="1"/>
    <col min="11526" max="11526" width="8.83203125" style="425" customWidth="1"/>
    <col min="11527" max="11527" width="6.33203125" style="425" customWidth="1"/>
    <col min="11528" max="11528" width="14.33203125" style="425" customWidth="1"/>
    <col min="11529" max="11532" width="8.83203125" style="425" customWidth="1"/>
    <col min="11533" max="11533" width="17.83203125" style="425" customWidth="1"/>
    <col min="11534" max="11775" width="8.83203125" style="425" customWidth="1"/>
    <col min="11776" max="11776" width="32.33203125" style="425" bestFit="1" customWidth="1"/>
    <col min="11777" max="11777" width="22.1640625" style="425" customWidth="1"/>
    <col min="11778" max="11778" width="14.33203125" style="425" customWidth="1"/>
    <col min="11779" max="11779" width="19" style="425" customWidth="1"/>
    <col min="11780" max="11780" width="8.83203125" style="425" customWidth="1"/>
    <col min="11781" max="11781" width="11.33203125" style="425" customWidth="1"/>
    <col min="11782" max="11782" width="8.83203125" style="425" customWidth="1"/>
    <col min="11783" max="11783" width="6.33203125" style="425" customWidth="1"/>
    <col min="11784" max="11784" width="14.33203125" style="425" customWidth="1"/>
    <col min="11785" max="11788" width="8.83203125" style="425" customWidth="1"/>
    <col min="11789" max="11789" width="17.83203125" style="425" customWidth="1"/>
    <col min="11790" max="12031" width="8.83203125" style="425" customWidth="1"/>
    <col min="12032" max="12032" width="32.33203125" style="425" bestFit="1" customWidth="1"/>
    <col min="12033" max="12033" width="22.1640625" style="425" customWidth="1"/>
    <col min="12034" max="12034" width="14.33203125" style="425" customWidth="1"/>
    <col min="12035" max="12035" width="19" style="425" customWidth="1"/>
    <col min="12036" max="12036" width="8.83203125" style="425" customWidth="1"/>
    <col min="12037" max="12037" width="11.33203125" style="425" customWidth="1"/>
    <col min="12038" max="12038" width="8.83203125" style="425" customWidth="1"/>
    <col min="12039" max="12039" width="6.33203125" style="425" customWidth="1"/>
    <col min="12040" max="12040" width="14.33203125" style="425" customWidth="1"/>
    <col min="12041" max="12044" width="8.83203125" style="425" customWidth="1"/>
    <col min="12045" max="12045" width="17.83203125" style="425" customWidth="1"/>
    <col min="12046" max="12287" width="8.83203125" style="425" customWidth="1"/>
    <col min="12288" max="12288" width="32.33203125" style="425" bestFit="1" customWidth="1"/>
    <col min="12289" max="12289" width="22.1640625" style="425" customWidth="1"/>
    <col min="12290" max="12290" width="14.33203125" style="425" customWidth="1"/>
    <col min="12291" max="12291" width="19" style="425" customWidth="1"/>
    <col min="12292" max="12292" width="8.83203125" style="425" customWidth="1"/>
    <col min="12293" max="12293" width="11.33203125" style="425" customWidth="1"/>
    <col min="12294" max="12294" width="8.83203125" style="425" customWidth="1"/>
    <col min="12295" max="12295" width="6.33203125" style="425" customWidth="1"/>
    <col min="12296" max="12296" width="14.33203125" style="425" customWidth="1"/>
    <col min="12297" max="12300" width="8.83203125" style="425" customWidth="1"/>
    <col min="12301" max="12301" width="17.83203125" style="425" customWidth="1"/>
    <col min="12302" max="12543" width="8.83203125" style="425" customWidth="1"/>
    <col min="12544" max="12544" width="32.33203125" style="425" bestFit="1" customWidth="1"/>
    <col min="12545" max="12545" width="22.1640625" style="425" customWidth="1"/>
    <col min="12546" max="12546" width="14.33203125" style="425" customWidth="1"/>
    <col min="12547" max="12547" width="19" style="425" customWidth="1"/>
    <col min="12548" max="12548" width="8.83203125" style="425" customWidth="1"/>
    <col min="12549" max="12549" width="11.33203125" style="425" customWidth="1"/>
    <col min="12550" max="12550" width="8.83203125" style="425" customWidth="1"/>
    <col min="12551" max="12551" width="6.33203125" style="425" customWidth="1"/>
    <col min="12552" max="12552" width="14.33203125" style="425" customWidth="1"/>
    <col min="12553" max="12556" width="8.83203125" style="425" customWidth="1"/>
    <col min="12557" max="12557" width="17.83203125" style="425" customWidth="1"/>
    <col min="12558" max="12799" width="8.83203125" style="425" customWidth="1"/>
    <col min="12800" max="12800" width="32.33203125" style="425" bestFit="1" customWidth="1"/>
    <col min="12801" max="12801" width="22.1640625" style="425" customWidth="1"/>
    <col min="12802" max="12802" width="14.33203125" style="425" customWidth="1"/>
    <col min="12803" max="12803" width="19" style="425" customWidth="1"/>
    <col min="12804" max="12804" width="8.83203125" style="425" customWidth="1"/>
    <col min="12805" max="12805" width="11.33203125" style="425" customWidth="1"/>
    <col min="12806" max="12806" width="8.83203125" style="425" customWidth="1"/>
    <col min="12807" max="12807" width="6.33203125" style="425" customWidth="1"/>
    <col min="12808" max="12808" width="14.33203125" style="425" customWidth="1"/>
    <col min="12809" max="12812" width="8.83203125" style="425" customWidth="1"/>
    <col min="12813" max="12813" width="17.83203125" style="425" customWidth="1"/>
    <col min="12814" max="13055" width="8.83203125" style="425" customWidth="1"/>
    <col min="13056" max="13056" width="32.33203125" style="425" bestFit="1" customWidth="1"/>
    <col min="13057" max="13057" width="22.1640625" style="425" customWidth="1"/>
    <col min="13058" max="13058" width="14.33203125" style="425" customWidth="1"/>
    <col min="13059" max="13059" width="19" style="425" customWidth="1"/>
    <col min="13060" max="13060" width="8.83203125" style="425" customWidth="1"/>
    <col min="13061" max="13061" width="11.33203125" style="425" customWidth="1"/>
    <col min="13062" max="13062" width="8.83203125" style="425" customWidth="1"/>
    <col min="13063" max="13063" width="6.33203125" style="425" customWidth="1"/>
    <col min="13064" max="13064" width="14.33203125" style="425" customWidth="1"/>
    <col min="13065" max="13068" width="8.83203125" style="425" customWidth="1"/>
    <col min="13069" max="13069" width="17.83203125" style="425" customWidth="1"/>
    <col min="13070" max="13311" width="8.83203125" style="425" customWidth="1"/>
    <col min="13312" max="13312" width="32.33203125" style="425" bestFit="1" customWidth="1"/>
    <col min="13313" max="13313" width="22.1640625" style="425" customWidth="1"/>
    <col min="13314" max="13314" width="14.33203125" style="425" customWidth="1"/>
    <col min="13315" max="13315" width="19" style="425" customWidth="1"/>
    <col min="13316" max="13316" width="8.83203125" style="425" customWidth="1"/>
    <col min="13317" max="13317" width="11.33203125" style="425" customWidth="1"/>
    <col min="13318" max="13318" width="8.83203125" style="425" customWidth="1"/>
    <col min="13319" max="13319" width="6.33203125" style="425" customWidth="1"/>
    <col min="13320" max="13320" width="14.33203125" style="425" customWidth="1"/>
    <col min="13321" max="13324" width="8.83203125" style="425" customWidth="1"/>
    <col min="13325" max="13325" width="17.83203125" style="425" customWidth="1"/>
    <col min="13326" max="13567" width="8.83203125" style="425" customWidth="1"/>
    <col min="13568" max="13568" width="32.33203125" style="425" bestFit="1" customWidth="1"/>
    <col min="13569" max="13569" width="22.1640625" style="425" customWidth="1"/>
    <col min="13570" max="13570" width="14.33203125" style="425" customWidth="1"/>
    <col min="13571" max="13571" width="19" style="425" customWidth="1"/>
    <col min="13572" max="13572" width="8.83203125" style="425" customWidth="1"/>
    <col min="13573" max="13573" width="11.33203125" style="425" customWidth="1"/>
    <col min="13574" max="13574" width="8.83203125" style="425" customWidth="1"/>
    <col min="13575" max="13575" width="6.33203125" style="425" customWidth="1"/>
    <col min="13576" max="13576" width="14.33203125" style="425" customWidth="1"/>
    <col min="13577" max="13580" width="8.83203125" style="425" customWidth="1"/>
    <col min="13581" max="13581" width="17.83203125" style="425" customWidth="1"/>
    <col min="13582" max="13823" width="8.83203125" style="425" customWidth="1"/>
    <col min="13824" max="13824" width="32.33203125" style="425" bestFit="1" customWidth="1"/>
    <col min="13825" max="13825" width="22.1640625" style="425" customWidth="1"/>
    <col min="13826" max="13826" width="14.33203125" style="425" customWidth="1"/>
    <col min="13827" max="13827" width="19" style="425" customWidth="1"/>
    <col min="13828" max="13828" width="8.83203125" style="425" customWidth="1"/>
    <col min="13829" max="13829" width="11.33203125" style="425" customWidth="1"/>
    <col min="13830" max="13830" width="8.83203125" style="425" customWidth="1"/>
    <col min="13831" max="13831" width="6.33203125" style="425" customWidth="1"/>
    <col min="13832" max="13832" width="14.33203125" style="425" customWidth="1"/>
    <col min="13833" max="13836" width="8.83203125" style="425" customWidth="1"/>
    <col min="13837" max="13837" width="17.83203125" style="425" customWidth="1"/>
    <col min="13838" max="14079" width="8.83203125" style="425" customWidth="1"/>
    <col min="14080" max="14080" width="32.33203125" style="425" bestFit="1" customWidth="1"/>
    <col min="14081" max="14081" width="22.1640625" style="425" customWidth="1"/>
    <col min="14082" max="14082" width="14.33203125" style="425" customWidth="1"/>
    <col min="14083" max="14083" width="19" style="425" customWidth="1"/>
    <col min="14084" max="14084" width="8.83203125" style="425" customWidth="1"/>
    <col min="14085" max="14085" width="11.33203125" style="425" customWidth="1"/>
    <col min="14086" max="14086" width="8.83203125" style="425" customWidth="1"/>
    <col min="14087" max="14087" width="6.33203125" style="425" customWidth="1"/>
    <col min="14088" max="14088" width="14.33203125" style="425" customWidth="1"/>
    <col min="14089" max="14092" width="8.83203125" style="425" customWidth="1"/>
    <col min="14093" max="14093" width="17.83203125" style="425" customWidth="1"/>
    <col min="14094" max="14335" width="8.83203125" style="425" customWidth="1"/>
    <col min="14336" max="14336" width="32.33203125" style="425" bestFit="1" customWidth="1"/>
    <col min="14337" max="14337" width="22.1640625" style="425" customWidth="1"/>
    <col min="14338" max="14338" width="14.33203125" style="425" customWidth="1"/>
    <col min="14339" max="14339" width="19" style="425" customWidth="1"/>
    <col min="14340" max="14340" width="8.83203125" style="425" customWidth="1"/>
    <col min="14341" max="14341" width="11.33203125" style="425" customWidth="1"/>
    <col min="14342" max="14342" width="8.83203125" style="425" customWidth="1"/>
    <col min="14343" max="14343" width="6.33203125" style="425" customWidth="1"/>
    <col min="14344" max="14344" width="14.33203125" style="425" customWidth="1"/>
    <col min="14345" max="14348" width="8.83203125" style="425" customWidth="1"/>
    <col min="14349" max="14349" width="17.83203125" style="425" customWidth="1"/>
    <col min="14350" max="14591" width="8.83203125" style="425" customWidth="1"/>
    <col min="14592" max="14592" width="32.33203125" style="425" bestFit="1" customWidth="1"/>
    <col min="14593" max="14593" width="22.1640625" style="425" customWidth="1"/>
    <col min="14594" max="14594" width="14.33203125" style="425" customWidth="1"/>
    <col min="14595" max="14595" width="19" style="425" customWidth="1"/>
    <col min="14596" max="14596" width="8.83203125" style="425" customWidth="1"/>
    <col min="14597" max="14597" width="11.33203125" style="425" customWidth="1"/>
    <col min="14598" max="14598" width="8.83203125" style="425" customWidth="1"/>
    <col min="14599" max="14599" width="6.33203125" style="425" customWidth="1"/>
    <col min="14600" max="14600" width="14.33203125" style="425" customWidth="1"/>
    <col min="14601" max="14604" width="8.83203125" style="425" customWidth="1"/>
    <col min="14605" max="14605" width="17.83203125" style="425" customWidth="1"/>
    <col min="14606" max="14847" width="8.83203125" style="425" customWidth="1"/>
    <col min="14848" max="14848" width="32.33203125" style="425" bestFit="1" customWidth="1"/>
    <col min="14849" max="14849" width="22.1640625" style="425" customWidth="1"/>
    <col min="14850" max="14850" width="14.33203125" style="425" customWidth="1"/>
    <col min="14851" max="14851" width="19" style="425" customWidth="1"/>
    <col min="14852" max="14852" width="8.83203125" style="425" customWidth="1"/>
    <col min="14853" max="14853" width="11.33203125" style="425" customWidth="1"/>
    <col min="14854" max="14854" width="8.83203125" style="425" customWidth="1"/>
    <col min="14855" max="14855" width="6.33203125" style="425" customWidth="1"/>
    <col min="14856" max="14856" width="14.33203125" style="425" customWidth="1"/>
    <col min="14857" max="14860" width="8.83203125" style="425" customWidth="1"/>
    <col min="14861" max="14861" width="17.83203125" style="425" customWidth="1"/>
    <col min="14862" max="15103" width="8.83203125" style="425" customWidth="1"/>
    <col min="15104" max="15104" width="32.33203125" style="425" bestFit="1" customWidth="1"/>
    <col min="15105" max="15105" width="22.1640625" style="425" customWidth="1"/>
    <col min="15106" max="15106" width="14.33203125" style="425" customWidth="1"/>
    <col min="15107" max="15107" width="19" style="425" customWidth="1"/>
    <col min="15108" max="15108" width="8.83203125" style="425" customWidth="1"/>
    <col min="15109" max="15109" width="11.33203125" style="425" customWidth="1"/>
    <col min="15110" max="15110" width="8.83203125" style="425" customWidth="1"/>
    <col min="15111" max="15111" width="6.33203125" style="425" customWidth="1"/>
    <col min="15112" max="15112" width="14.33203125" style="425" customWidth="1"/>
    <col min="15113" max="15116" width="8.83203125" style="425" customWidth="1"/>
    <col min="15117" max="15117" width="17.83203125" style="425" customWidth="1"/>
    <col min="15118" max="15359" width="8.83203125" style="425" customWidth="1"/>
    <col min="15360" max="15360" width="32.33203125" style="425" bestFit="1" customWidth="1"/>
    <col min="15361" max="15361" width="22.1640625" style="425" customWidth="1"/>
    <col min="15362" max="15362" width="14.33203125" style="425" customWidth="1"/>
    <col min="15363" max="15363" width="19" style="425" customWidth="1"/>
    <col min="15364" max="15364" width="8.83203125" style="425" customWidth="1"/>
    <col min="15365" max="15365" width="11.33203125" style="425" customWidth="1"/>
    <col min="15366" max="15366" width="8.83203125" style="425" customWidth="1"/>
    <col min="15367" max="15367" width="6.33203125" style="425" customWidth="1"/>
    <col min="15368" max="15368" width="14.33203125" style="425" customWidth="1"/>
    <col min="15369" max="15372" width="8.83203125" style="425" customWidth="1"/>
    <col min="15373" max="15373" width="17.83203125" style="425" customWidth="1"/>
    <col min="15374" max="15615" width="8.83203125" style="425" customWidth="1"/>
    <col min="15616" max="15616" width="32.33203125" style="425" bestFit="1" customWidth="1"/>
    <col min="15617" max="15617" width="22.1640625" style="425" customWidth="1"/>
    <col min="15618" max="15618" width="14.33203125" style="425" customWidth="1"/>
    <col min="15619" max="15619" width="19" style="425" customWidth="1"/>
    <col min="15620" max="15620" width="8.83203125" style="425" customWidth="1"/>
    <col min="15621" max="15621" width="11.33203125" style="425" customWidth="1"/>
    <col min="15622" max="15622" width="8.83203125" style="425" customWidth="1"/>
    <col min="15623" max="15623" width="6.33203125" style="425" customWidth="1"/>
    <col min="15624" max="15624" width="14.33203125" style="425" customWidth="1"/>
    <col min="15625" max="15628" width="8.83203125" style="425" customWidth="1"/>
    <col min="15629" max="15629" width="17.83203125" style="425" customWidth="1"/>
    <col min="15630" max="15871" width="8.83203125" style="425" customWidth="1"/>
    <col min="15872" max="15872" width="32.33203125" style="425" bestFit="1" customWidth="1"/>
    <col min="15873" max="15873" width="22.1640625" style="425" customWidth="1"/>
    <col min="15874" max="15874" width="14.33203125" style="425" customWidth="1"/>
    <col min="15875" max="15875" width="19" style="425" customWidth="1"/>
    <col min="15876" max="15876" width="8.83203125" style="425" customWidth="1"/>
    <col min="15877" max="15877" width="11.33203125" style="425" customWidth="1"/>
    <col min="15878" max="15878" width="8.83203125" style="425" customWidth="1"/>
    <col min="15879" max="15879" width="6.33203125" style="425" customWidth="1"/>
    <col min="15880" max="15880" width="14.33203125" style="425" customWidth="1"/>
    <col min="15881" max="15884" width="8.83203125" style="425" customWidth="1"/>
    <col min="15885" max="15885" width="17.83203125" style="425" customWidth="1"/>
    <col min="15886" max="16127" width="8.83203125" style="425" customWidth="1"/>
    <col min="16128" max="16128" width="32.33203125" style="425" bestFit="1" customWidth="1"/>
    <col min="16129" max="16129" width="22.1640625" style="425" customWidth="1"/>
    <col min="16130" max="16130" width="14.33203125" style="425" customWidth="1"/>
    <col min="16131" max="16131" width="19" style="425" customWidth="1"/>
    <col min="16132" max="16132" width="8.83203125" style="425" customWidth="1"/>
    <col min="16133" max="16133" width="11.33203125" style="425" customWidth="1"/>
    <col min="16134" max="16134" width="8.83203125" style="425" customWidth="1"/>
    <col min="16135" max="16135" width="6.33203125" style="425" customWidth="1"/>
    <col min="16136" max="16136" width="14.33203125" style="425" customWidth="1"/>
    <col min="16137" max="16140" width="8.83203125" style="425" customWidth="1"/>
    <col min="16141" max="16141" width="17.83203125" style="425" customWidth="1"/>
    <col min="16142" max="16384" width="8.83203125" style="425" customWidth="1"/>
  </cols>
  <sheetData>
    <row r="1" spans="1:14" x14ac:dyDescent="0.2">
      <c r="A1" s="424" t="s">
        <v>0</v>
      </c>
      <c r="B1" s="860" t="str">
        <f>'Cover Page'!D1</f>
        <v>ASU Preparatory Academy - Digital</v>
      </c>
      <c r="C1" s="860"/>
      <c r="E1" s="424" t="s">
        <v>1</v>
      </c>
      <c r="F1" s="638" t="str">
        <f>'Cover Page'!M1</f>
        <v>Maricopa</v>
      </c>
      <c r="G1" s="426"/>
      <c r="H1" s="424" t="s">
        <v>2</v>
      </c>
      <c r="I1" s="590" t="str">
        <f>'Cover Page'!R1</f>
        <v>078284000</v>
      </c>
      <c r="J1" s="638"/>
      <c r="K1" s="638"/>
    </row>
    <row r="4" spans="1:14" x14ac:dyDescent="0.2">
      <c r="H4" s="427" t="s">
        <v>485</v>
      </c>
      <c r="I4" s="681" t="s">
        <v>1198</v>
      </c>
      <c r="J4" s="681" t="s">
        <v>1199</v>
      </c>
    </row>
    <row r="5" spans="1:14" x14ac:dyDescent="0.2">
      <c r="H5" s="3" t="s">
        <v>486</v>
      </c>
      <c r="I5" s="559">
        <v>3543.9209000000001</v>
      </c>
      <c r="J5" s="559">
        <v>3576.7262999999998</v>
      </c>
    </row>
    <row r="6" spans="1:14" x14ac:dyDescent="0.2">
      <c r="A6" s="428"/>
      <c r="B6" s="429" t="s">
        <v>487</v>
      </c>
    </row>
    <row r="8" spans="1:14" ht="15" customHeight="1" x14ac:dyDescent="0.2">
      <c r="A8" s="430"/>
      <c r="B8" s="431"/>
      <c r="C8" s="432" t="s">
        <v>488</v>
      </c>
      <c r="D8" s="861" t="s">
        <v>489</v>
      </c>
      <c r="E8" s="433"/>
      <c r="F8" s="434"/>
      <c r="G8" s="857" t="s">
        <v>490</v>
      </c>
      <c r="H8" s="859" t="s">
        <v>491</v>
      </c>
      <c r="I8" s="434"/>
      <c r="J8" s="434"/>
      <c r="K8" s="435"/>
    </row>
    <row r="9" spans="1:14" x14ac:dyDescent="0.2">
      <c r="A9" s="436"/>
      <c r="B9" s="437" t="s">
        <v>193</v>
      </c>
      <c r="C9" s="438" t="s">
        <v>193</v>
      </c>
      <c r="D9" s="862"/>
      <c r="E9" s="439"/>
      <c r="F9" s="440"/>
      <c r="G9" s="858"/>
      <c r="H9" s="858"/>
      <c r="I9" s="440" t="s">
        <v>320</v>
      </c>
      <c r="J9" s="440" t="s">
        <v>492</v>
      </c>
      <c r="K9" s="441" t="s">
        <v>196</v>
      </c>
    </row>
    <row r="10" spans="1:14" x14ac:dyDescent="0.2">
      <c r="A10" s="442" t="s">
        <v>493</v>
      </c>
      <c r="B10" s="443" t="s">
        <v>494</v>
      </c>
      <c r="C10" s="444" t="s">
        <v>494</v>
      </c>
      <c r="D10" s="863"/>
      <c r="E10" s="445" t="s">
        <v>495</v>
      </c>
      <c r="F10" s="446" t="s">
        <v>322</v>
      </c>
      <c r="G10" s="858"/>
      <c r="H10" s="858"/>
      <c r="I10" s="446" t="s">
        <v>324</v>
      </c>
      <c r="J10" s="446" t="s">
        <v>496</v>
      </c>
      <c r="K10" s="447" t="s">
        <v>494</v>
      </c>
      <c r="M10" s="424" t="s">
        <v>497</v>
      </c>
    </row>
    <row r="11" spans="1:14" x14ac:dyDescent="0.2">
      <c r="A11" s="448" t="s">
        <v>498</v>
      </c>
      <c r="B11" s="449"/>
      <c r="C11" s="450"/>
      <c r="D11" s="450"/>
      <c r="E11" s="451"/>
      <c r="F11" s="452"/>
      <c r="G11" s="453">
        <f>'Page 2'!I23</f>
        <v>30450728</v>
      </c>
      <c r="H11" s="454">
        <f>'Page 2'!J23</f>
        <v>29451451</v>
      </c>
      <c r="I11" s="455"/>
      <c r="J11" s="452"/>
      <c r="K11" s="449"/>
      <c r="M11" s="424" t="s">
        <v>1164</v>
      </c>
    </row>
    <row r="12" spans="1:14" x14ac:dyDescent="0.2">
      <c r="A12" s="448" t="s">
        <v>499</v>
      </c>
      <c r="B12" s="449"/>
      <c r="C12" s="449"/>
      <c r="D12" s="449"/>
      <c r="E12" s="456"/>
      <c r="F12" s="452"/>
      <c r="G12" s="453">
        <f>'Page 2'!I37</f>
        <v>576598</v>
      </c>
      <c r="H12" s="457">
        <f>'Page 2'!J37</f>
        <v>1121767</v>
      </c>
      <c r="I12" s="455"/>
      <c r="J12" s="452"/>
      <c r="K12" s="449"/>
      <c r="M12" s="458">
        <v>-1</v>
      </c>
      <c r="N12" s="425" t="str">
        <f>"The Charter "&amp;IF('Project balance reserves'!F26="Yes","has","does not have")&amp;" an adopted policy establishing a reserve balance for FY 2024."</f>
        <v>The Charter does not have an adopted policy establishing a reserve balance for FY 2024.</v>
      </c>
    </row>
    <row r="13" spans="1:14" x14ac:dyDescent="0.2">
      <c r="A13" s="448" t="s">
        <v>500</v>
      </c>
      <c r="B13" s="449"/>
      <c r="C13" s="449"/>
      <c r="D13" s="449"/>
      <c r="E13" s="456"/>
      <c r="F13" s="452"/>
      <c r="G13" s="459">
        <f>'Page 2'!I38</f>
        <v>1917</v>
      </c>
      <c r="H13" s="457">
        <f>'Page 2'!J38</f>
        <v>20060</v>
      </c>
      <c r="I13" s="455"/>
      <c r="J13" s="452"/>
      <c r="K13" s="449"/>
    </row>
    <row r="14" spans="1:14" x14ac:dyDescent="0.2">
      <c r="A14" s="448" t="s">
        <v>501</v>
      </c>
      <c r="B14" s="449"/>
      <c r="C14" s="449"/>
      <c r="D14" s="449"/>
      <c r="E14" s="456"/>
      <c r="F14" s="452"/>
      <c r="G14" s="459">
        <f>'Page 2'!I39</f>
        <v>0</v>
      </c>
      <c r="H14" s="457">
        <f>'Page 2'!J39</f>
        <v>0</v>
      </c>
      <c r="I14" s="455"/>
      <c r="J14" s="452"/>
      <c r="K14" s="449"/>
      <c r="M14" s="458">
        <v>-2</v>
      </c>
      <c r="N14" s="425" t="s">
        <v>1200</v>
      </c>
    </row>
    <row r="15" spans="1:14" x14ac:dyDescent="0.2">
      <c r="A15" s="460" t="s">
        <v>502</v>
      </c>
      <c r="B15" s="461"/>
      <c r="C15" s="461"/>
      <c r="D15" s="461"/>
      <c r="E15" s="462"/>
      <c r="F15" s="452"/>
      <c r="G15" s="463">
        <f>'Page 2'!I40</f>
        <v>0</v>
      </c>
      <c r="H15" s="464">
        <f>'Page 2'!J40</f>
        <v>0</v>
      </c>
      <c r="I15" s="455"/>
      <c r="J15" s="452"/>
      <c r="K15" s="449"/>
      <c r="N15" s="465">
        <f>'Project balance reserves'!D39</f>
        <v>0</v>
      </c>
    </row>
    <row r="16" spans="1:14" x14ac:dyDescent="0.2">
      <c r="A16" s="466" t="s">
        <v>503</v>
      </c>
      <c r="B16" s="461"/>
      <c r="C16" s="449"/>
      <c r="D16" s="449"/>
      <c r="E16" s="456"/>
      <c r="F16" s="467"/>
      <c r="G16" s="468">
        <f>'Page 2'!I41</f>
        <v>83465</v>
      </c>
      <c r="H16" s="469">
        <f>'Page 2'!J41</f>
        <v>78072</v>
      </c>
      <c r="I16" s="467"/>
      <c r="J16" s="452"/>
      <c r="K16" s="470"/>
    </row>
    <row r="17" spans="1:18" x14ac:dyDescent="0.2">
      <c r="A17" s="471" t="s">
        <v>504</v>
      </c>
      <c r="B17" s="678">
        <f>[4]Summary!$K$17</f>
        <v>9765526</v>
      </c>
      <c r="C17" s="478">
        <v>8469150</v>
      </c>
      <c r="D17" s="472">
        <f>'Page 1'!H40-SUM(D18:D23)</f>
        <v>33768356</v>
      </c>
      <c r="E17" s="456"/>
      <c r="F17" s="478">
        <v>0</v>
      </c>
      <c r="G17" s="557">
        <v>31112708</v>
      </c>
      <c r="H17" s="558">
        <v>30671125</v>
      </c>
      <c r="I17" s="478">
        <v>7544383</v>
      </c>
      <c r="J17" s="478">
        <v>0</v>
      </c>
      <c r="K17" s="473">
        <f>IF(C17="",B17,C17)+D17-E17-F17-I17-H17-J17</f>
        <v>4021998</v>
      </c>
      <c r="M17" s="458"/>
    </row>
    <row r="18" spans="1:18" x14ac:dyDescent="0.2">
      <c r="A18" s="471" t="s">
        <v>505</v>
      </c>
      <c r="B18" s="472">
        <f>'Page 3'!F24</f>
        <v>0</v>
      </c>
      <c r="C18" s="555">
        <v>0</v>
      </c>
      <c r="D18" s="473">
        <f>'Page 3'!F27</f>
        <v>3354923</v>
      </c>
      <c r="E18" s="456"/>
      <c r="F18" s="478">
        <v>0</v>
      </c>
      <c r="G18" s="474">
        <f>'Page 3'!J13+'Page 3'!F18</f>
        <v>3278648</v>
      </c>
      <c r="H18" s="671">
        <f>'Page 3'!G18+'Page 3'!K13</f>
        <v>3354923</v>
      </c>
      <c r="I18" s="472">
        <f>'Page 3'!G17</f>
        <v>0</v>
      </c>
      <c r="J18" s="472">
        <f>'Page 3'!G19</f>
        <v>0</v>
      </c>
      <c r="K18" s="473">
        <f>IF(C18="",B18,C18)+D18-E18-F18-I18-H18-J18</f>
        <v>0</v>
      </c>
      <c r="N18" s="677"/>
    </row>
    <row r="19" spans="1:18" x14ac:dyDescent="0.2">
      <c r="A19" s="471" t="s">
        <v>506</v>
      </c>
      <c r="B19" s="472">
        <f>'Page 4'!F15</f>
        <v>0</v>
      </c>
      <c r="C19" s="555">
        <v>0</v>
      </c>
      <c r="D19" s="473">
        <f>'Page 4'!F16</f>
        <v>265142</v>
      </c>
      <c r="E19" s="456"/>
      <c r="F19" s="478">
        <v>0</v>
      </c>
      <c r="G19" s="556">
        <f>'Page 4'!H11</f>
        <v>4654</v>
      </c>
      <c r="H19" s="473">
        <f>'Page 4'!I11</f>
        <v>265142</v>
      </c>
      <c r="I19" s="455"/>
      <c r="J19" s="455"/>
      <c r="K19" s="473">
        <f t="shared" ref="K19:K23" si="0">IF(C19="",B19,C19)+D19-E19-F19-I19-H19-J19</f>
        <v>0</v>
      </c>
    </row>
    <row r="20" spans="1:18" x14ac:dyDescent="0.2">
      <c r="A20" s="471" t="s">
        <v>507</v>
      </c>
      <c r="B20" s="472">
        <f>'Page 5'!F26</f>
        <v>0</v>
      </c>
      <c r="C20" s="555">
        <v>0</v>
      </c>
      <c r="D20" s="473">
        <f>'Page 5'!G26</f>
        <v>0</v>
      </c>
      <c r="E20" s="456"/>
      <c r="F20" s="478">
        <v>0</v>
      </c>
      <c r="G20" s="556">
        <f>'Page 5'!M26</f>
        <v>0</v>
      </c>
      <c r="H20" s="473">
        <f>'Page 5'!N26</f>
        <v>79223</v>
      </c>
      <c r="I20" s="455"/>
      <c r="J20" s="455"/>
      <c r="K20" s="473">
        <f t="shared" si="0"/>
        <v>-79223</v>
      </c>
      <c r="M20" s="458"/>
      <c r="N20" s="675"/>
      <c r="P20" s="477"/>
    </row>
    <row r="21" spans="1:18" x14ac:dyDescent="0.2">
      <c r="A21" s="471" t="s">
        <v>508</v>
      </c>
      <c r="B21" s="472">
        <f>'Page 5'!F48</f>
        <v>0</v>
      </c>
      <c r="C21" s="555">
        <v>0</v>
      </c>
      <c r="D21" s="473">
        <f>'Page 5'!G48</f>
        <v>0</v>
      </c>
      <c r="E21" s="456"/>
      <c r="F21" s="478">
        <v>0</v>
      </c>
      <c r="G21" s="556">
        <f>'Page 5'!M48</f>
        <v>0</v>
      </c>
      <c r="H21" s="473">
        <f>'Page 5'!N48</f>
        <v>0</v>
      </c>
      <c r="I21" s="455"/>
      <c r="J21" s="455"/>
      <c r="K21" s="473">
        <f t="shared" si="0"/>
        <v>0</v>
      </c>
      <c r="Q21" s="477"/>
      <c r="R21" s="477"/>
    </row>
    <row r="22" spans="1:18" x14ac:dyDescent="0.2">
      <c r="A22" s="471" t="s">
        <v>509</v>
      </c>
      <c r="B22" s="473">
        <f>'Page 8'!E23</f>
        <v>491411</v>
      </c>
      <c r="C22" s="473">
        <f>'Page 8'!F23</f>
        <v>107662</v>
      </c>
      <c r="D22" s="473">
        <f>'Page 8'!G23</f>
        <v>4294920</v>
      </c>
      <c r="E22" s="589">
        <f>'Page 8'!H23</f>
        <v>42742</v>
      </c>
      <c r="F22" s="472">
        <f>'Page 8'!I23</f>
        <v>0</v>
      </c>
      <c r="G22" s="556">
        <f>'Page 8'!J23</f>
        <v>507311</v>
      </c>
      <c r="H22" s="473">
        <f>'Page 8'!K23</f>
        <v>4251674</v>
      </c>
      <c r="I22" s="474">
        <f>'Page 8'!M23</f>
        <v>0</v>
      </c>
      <c r="J22" s="472">
        <f>'Page 8'!L23</f>
        <v>0</v>
      </c>
      <c r="K22" s="473">
        <f t="shared" si="0"/>
        <v>108166</v>
      </c>
      <c r="N22" s="477"/>
      <c r="O22" s="477"/>
      <c r="P22" s="477"/>
      <c r="Q22" s="477"/>
      <c r="R22" s="477"/>
    </row>
    <row r="23" spans="1:18" x14ac:dyDescent="0.2">
      <c r="A23" s="471" t="s">
        <v>510</v>
      </c>
      <c r="B23" s="473">
        <f>'Page 8'!E40</f>
        <v>300</v>
      </c>
      <c r="C23" s="473">
        <f>'Page 8'!F40</f>
        <v>0</v>
      </c>
      <c r="D23" s="473">
        <f>'Page 8'!G40</f>
        <v>85075</v>
      </c>
      <c r="E23" s="456"/>
      <c r="F23" s="472">
        <f>'Page 8'!I40</f>
        <v>0</v>
      </c>
      <c r="G23" s="476">
        <f>'Page 8'!J40</f>
        <v>6000000</v>
      </c>
      <c r="H23" s="475">
        <f>'Page 8'!K40</f>
        <v>85075</v>
      </c>
      <c r="I23" s="472">
        <f>'Page 8'!M40</f>
        <v>0</v>
      </c>
      <c r="J23" s="472">
        <f>'Page 8'!L40</f>
        <v>0</v>
      </c>
      <c r="K23" s="473">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topLeftCell="A31" zoomScaleNormal="100" workbookViewId="0">
      <selection activeCell="B42" sqref="B42:I46"/>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3" customFormat="1" x14ac:dyDescent="0.2">
      <c r="B1" s="332" t="s">
        <v>0</v>
      </c>
      <c r="C1" s="637" t="str">
        <f>'Cover Page'!D1</f>
        <v>ASU Preparatory Academy - Digital</v>
      </c>
      <c r="D1" s="637"/>
      <c r="E1" s="637"/>
      <c r="G1" s="332" t="s">
        <v>1</v>
      </c>
      <c r="H1" s="820" t="str">
        <f>'Cover Page'!M1</f>
        <v>Maricopa</v>
      </c>
      <c r="I1" s="820"/>
      <c r="J1" s="334"/>
      <c r="K1" s="332" t="s">
        <v>2</v>
      </c>
      <c r="L1" s="335" t="str">
        <f>'Cover Page'!R1</f>
        <v>078284000</v>
      </c>
      <c r="M1" s="336"/>
      <c r="N1" s="336"/>
      <c r="O1" s="337"/>
      <c r="P1" s="338"/>
      <c r="R1" s="339"/>
      <c r="S1" s="339"/>
      <c r="T1" s="339"/>
      <c r="U1" s="339"/>
      <c r="V1" s="340"/>
      <c r="W1" s="340"/>
      <c r="X1" s="340"/>
      <c r="Y1" s="340"/>
      <c r="Z1" s="340"/>
      <c r="AA1" s="340"/>
      <c r="AB1" s="340"/>
      <c r="AC1" s="340"/>
      <c r="AD1" s="341"/>
      <c r="AE1" s="341"/>
      <c r="AF1" s="341"/>
      <c r="AG1" s="341"/>
      <c r="AH1" s="341"/>
      <c r="AI1" s="341"/>
      <c r="AJ1" s="339"/>
      <c r="AK1" s="339"/>
      <c r="AL1" s="339"/>
      <c r="AM1" s="339"/>
      <c r="AN1" s="339"/>
      <c r="AO1" s="339"/>
      <c r="AP1" s="339"/>
      <c r="AQ1" s="339"/>
      <c r="AR1" s="339"/>
      <c r="AS1" s="339"/>
      <c r="AT1" s="339"/>
      <c r="AU1" s="339"/>
      <c r="AV1" s="339"/>
    </row>
    <row r="2" spans="1:67" s="333" customFormat="1" x14ac:dyDescent="0.2">
      <c r="B2" s="332"/>
      <c r="C2" s="336"/>
      <c r="D2" s="336"/>
      <c r="E2" s="336"/>
      <c r="G2" s="332"/>
      <c r="H2" s="336"/>
      <c r="I2" s="336"/>
      <c r="J2" s="334"/>
      <c r="K2" s="332"/>
      <c r="L2" s="479"/>
      <c r="M2" s="336"/>
      <c r="N2" s="336"/>
      <c r="O2" s="337"/>
      <c r="P2" s="338"/>
      <c r="R2" s="339"/>
      <c r="S2" s="339"/>
      <c r="T2" s="339"/>
      <c r="U2" s="339"/>
      <c r="V2" s="340"/>
      <c r="W2" s="340"/>
      <c r="X2" s="340"/>
      <c r="Y2" s="340"/>
      <c r="Z2" s="340"/>
      <c r="AA2" s="340"/>
      <c r="AB2" s="340"/>
      <c r="AC2" s="340"/>
      <c r="AD2" s="341"/>
      <c r="AE2" s="341"/>
      <c r="AF2" s="341"/>
      <c r="AG2" s="341"/>
      <c r="AH2" s="341"/>
      <c r="AI2" s="341"/>
      <c r="AJ2" s="339"/>
      <c r="AK2" s="339"/>
      <c r="AL2" s="339"/>
      <c r="AM2" s="339"/>
      <c r="AN2" s="339"/>
      <c r="AO2" s="339"/>
      <c r="AP2" s="339"/>
      <c r="AQ2" s="339"/>
      <c r="AR2" s="339"/>
      <c r="AS2" s="339"/>
      <c r="AT2" s="339"/>
      <c r="AU2" s="339"/>
      <c r="AV2" s="339"/>
    </row>
    <row r="3" spans="1:67" s="480" customFormat="1" ht="24.75" customHeight="1" x14ac:dyDescent="0.2">
      <c r="A3" s="867" t="s">
        <v>1148</v>
      </c>
      <c r="B3" s="867"/>
      <c r="C3" s="867"/>
      <c r="D3" s="867"/>
      <c r="E3" s="867"/>
      <c r="F3" s="867"/>
      <c r="G3" s="867"/>
      <c r="H3" s="867"/>
      <c r="J3" s="481"/>
      <c r="K3" s="482"/>
      <c r="L3" s="483"/>
      <c r="Q3" s="484"/>
      <c r="R3" s="485"/>
      <c r="S3" s="485"/>
      <c r="T3" s="485"/>
      <c r="U3" s="485"/>
      <c r="V3" s="485"/>
      <c r="W3" s="485"/>
      <c r="X3" s="485"/>
      <c r="Y3" s="485"/>
      <c r="Z3" s="485"/>
      <c r="AA3" s="485"/>
      <c r="AB3" s="485"/>
      <c r="AC3" s="485"/>
      <c r="AD3" s="485"/>
      <c r="AE3" s="485"/>
      <c r="AF3" s="485"/>
      <c r="AG3" s="486"/>
      <c r="AH3" s="485"/>
      <c r="AI3" s="485"/>
      <c r="AJ3" s="485"/>
      <c r="AK3" s="485"/>
      <c r="AL3" s="485"/>
      <c r="AM3" s="485"/>
      <c r="AN3" s="485"/>
      <c r="AO3" s="485"/>
      <c r="AP3" s="485"/>
      <c r="AQ3" s="485"/>
      <c r="AR3" s="485"/>
      <c r="AS3" s="485"/>
      <c r="AT3" s="485"/>
      <c r="AU3" s="485"/>
      <c r="AV3" s="485"/>
      <c r="AW3" s="485"/>
      <c r="AX3" s="485"/>
      <c r="AY3" s="485"/>
      <c r="AZ3" s="485"/>
      <c r="BA3" s="485"/>
      <c r="BB3" s="485"/>
      <c r="BC3" s="485"/>
      <c r="BD3" s="485"/>
      <c r="BE3" s="485"/>
      <c r="BF3" s="485"/>
      <c r="BG3" s="485"/>
      <c r="BH3" s="485"/>
      <c r="BI3" s="485"/>
      <c r="BJ3" s="485"/>
      <c r="BK3" s="485"/>
      <c r="BL3" s="485"/>
      <c r="BM3" s="485"/>
      <c r="BN3" s="485"/>
      <c r="BO3" s="485"/>
    </row>
    <row r="4" spans="1:67" s="480" customFormat="1" ht="16.5" customHeight="1" x14ac:dyDescent="0.2">
      <c r="A4" s="487"/>
      <c r="B4" s="487"/>
      <c r="C4" s="487"/>
      <c r="D4" s="487"/>
      <c r="E4" s="487"/>
      <c r="F4" s="487"/>
      <c r="G4" s="487"/>
      <c r="H4" s="487"/>
      <c r="J4" s="481"/>
      <c r="K4" s="482"/>
      <c r="L4" s="483"/>
      <c r="Q4" s="484"/>
      <c r="R4" s="485"/>
      <c r="S4" s="485"/>
      <c r="T4" s="485"/>
      <c r="U4" s="485"/>
      <c r="V4" s="485"/>
      <c r="W4" s="485"/>
      <c r="X4" s="485"/>
      <c r="Y4" s="485"/>
      <c r="Z4" s="485"/>
      <c r="AA4" s="485"/>
      <c r="AB4" s="485"/>
      <c r="AC4" s="485"/>
      <c r="AD4" s="485"/>
      <c r="AE4" s="485"/>
      <c r="AF4" s="485"/>
      <c r="AG4" s="486"/>
      <c r="AH4" s="485"/>
      <c r="AI4" s="485"/>
      <c r="AJ4" s="485"/>
      <c r="AK4" s="485"/>
      <c r="AL4" s="485"/>
      <c r="AM4" s="485"/>
      <c r="AN4" s="485"/>
      <c r="AO4" s="485"/>
      <c r="AP4" s="485"/>
      <c r="AQ4" s="485"/>
      <c r="AR4" s="485"/>
      <c r="AS4" s="485"/>
      <c r="AT4" s="485"/>
      <c r="AU4" s="485"/>
      <c r="AV4" s="485"/>
      <c r="AW4" s="485"/>
      <c r="AX4" s="485"/>
      <c r="AY4" s="485"/>
      <c r="AZ4" s="485"/>
      <c r="BA4" s="485"/>
      <c r="BB4" s="485"/>
      <c r="BC4" s="485"/>
      <c r="BD4" s="485"/>
      <c r="BE4" s="485"/>
      <c r="BF4" s="485"/>
      <c r="BG4" s="485"/>
      <c r="BH4" s="485"/>
      <c r="BI4" s="485"/>
      <c r="BJ4" s="485"/>
      <c r="BK4" s="485"/>
      <c r="BL4" s="485"/>
      <c r="BM4" s="485"/>
      <c r="BN4" s="485"/>
      <c r="BO4" s="485"/>
    </row>
    <row r="5" spans="1:67" x14ac:dyDescent="0.2">
      <c r="A5" s="864" t="s">
        <v>1144</v>
      </c>
      <c r="B5" s="864"/>
    </row>
    <row r="7" spans="1:67" x14ac:dyDescent="0.2">
      <c r="C7" s="488" t="s">
        <v>511</v>
      </c>
      <c r="R7" s="48" t="s">
        <v>512</v>
      </c>
    </row>
    <row r="8" spans="1:67" x14ac:dyDescent="0.2">
      <c r="A8" s="489" t="s">
        <v>1149</v>
      </c>
      <c r="C8" s="490"/>
    </row>
    <row r="9" spans="1:67" x14ac:dyDescent="0.2">
      <c r="A9" s="491" t="s">
        <v>24</v>
      </c>
      <c r="B9" s="492" t="s">
        <v>1201</v>
      </c>
      <c r="C9" s="473">
        <f>Summary!B17+SUMIF(Summary!C18:C23,"",Summary!B18:B23)+SUMIF(Summary!C18:C23,"&lt;&gt;",Summary!C18:C23)</f>
        <v>9873188</v>
      </c>
    </row>
    <row r="10" spans="1:67" x14ac:dyDescent="0.2">
      <c r="A10" s="493" t="s">
        <v>1150</v>
      </c>
      <c r="C10" s="490"/>
    </row>
    <row r="11" spans="1:67" x14ac:dyDescent="0.2">
      <c r="A11" s="491" t="s">
        <v>26</v>
      </c>
      <c r="B11" s="492" t="s">
        <v>1202</v>
      </c>
      <c r="C11" s="473">
        <f>SUM(Summary!K17:K23)</f>
        <v>4050941</v>
      </c>
    </row>
    <row r="12" spans="1:67" x14ac:dyDescent="0.2">
      <c r="A12" s="864" t="s">
        <v>1207</v>
      </c>
      <c r="B12" s="864"/>
    </row>
    <row r="13" spans="1:67" x14ac:dyDescent="0.2">
      <c r="A13" s="491" t="s">
        <v>513</v>
      </c>
      <c r="B13" s="492" t="s">
        <v>514</v>
      </c>
      <c r="C13" s="104">
        <v>0</v>
      </c>
    </row>
    <row r="14" spans="1:67" x14ac:dyDescent="0.2">
      <c r="A14" s="491" t="s">
        <v>515</v>
      </c>
      <c r="B14" s="687" t="s">
        <v>1203</v>
      </c>
      <c r="C14" s="104">
        <f>C11</f>
        <v>4050941</v>
      </c>
    </row>
    <row r="15" spans="1:67" x14ac:dyDescent="0.2">
      <c r="A15" s="491" t="s">
        <v>516</v>
      </c>
      <c r="B15" t="s">
        <v>1204</v>
      </c>
      <c r="C15" s="104">
        <v>0</v>
      </c>
    </row>
    <row r="16" spans="1:67" x14ac:dyDescent="0.2">
      <c r="A16" s="491" t="s">
        <v>517</v>
      </c>
      <c r="B16" t="s">
        <v>1205</v>
      </c>
      <c r="C16" s="104">
        <v>0</v>
      </c>
    </row>
    <row r="17" spans="1:27" x14ac:dyDescent="0.2">
      <c r="A17" s="491" t="s">
        <v>518</v>
      </c>
      <c r="B17" t="s">
        <v>1206</v>
      </c>
      <c r="C17" s="104">
        <v>0</v>
      </c>
    </row>
    <row r="18" spans="1:27" x14ac:dyDescent="0.2">
      <c r="A18" s="491" t="s">
        <v>519</v>
      </c>
      <c r="B18" t="s">
        <v>520</v>
      </c>
      <c r="C18" s="104">
        <v>0</v>
      </c>
    </row>
    <row r="19" spans="1:27" x14ac:dyDescent="0.2">
      <c r="A19" s="491" t="s">
        <v>521</v>
      </c>
      <c r="B19" s="494" t="s">
        <v>522</v>
      </c>
      <c r="C19" s="104">
        <v>0</v>
      </c>
    </row>
    <row r="20" spans="1:27" x14ac:dyDescent="0.2">
      <c r="A20" s="3" t="s">
        <v>523</v>
      </c>
      <c r="B20" s="494" t="s">
        <v>522</v>
      </c>
      <c r="C20" s="104">
        <v>0</v>
      </c>
    </row>
    <row r="21" spans="1:27" x14ac:dyDescent="0.2">
      <c r="A21" s="3" t="s">
        <v>524</v>
      </c>
      <c r="B21" t="s">
        <v>1145</v>
      </c>
      <c r="C21" s="556">
        <f>IF(ROUND(SUM(C13:C20),0)=ROUND(C11,0),SUM(C13:C20),"Must equal line 2")</f>
        <v>4050941</v>
      </c>
    </row>
    <row r="22" spans="1:27" x14ac:dyDescent="0.2">
      <c r="A22" s="496"/>
    </row>
    <row r="23" spans="1:27" x14ac:dyDescent="0.2">
      <c r="A23" s="496"/>
    </row>
    <row r="24" spans="1:27" x14ac:dyDescent="0.2">
      <c r="A24" s="620"/>
      <c r="B24" s="620"/>
      <c r="D24" s="620"/>
      <c r="E24" s="620"/>
      <c r="F24" s="620"/>
      <c r="G24" s="620"/>
      <c r="H24" s="620"/>
    </row>
    <row r="25" spans="1:27" ht="39" customHeight="1" x14ac:dyDescent="0.2">
      <c r="A25" s="869" t="s">
        <v>1139</v>
      </c>
      <c r="B25" s="869"/>
      <c r="F25" s="665"/>
      <c r="G25" s="666" t="s">
        <v>1232</v>
      </c>
      <c r="H25" s="497"/>
      <c r="AA25" s="48" t="s">
        <v>525</v>
      </c>
    </row>
    <row r="26" spans="1:27" ht="28.5" customHeight="1" x14ac:dyDescent="0.2">
      <c r="A26" s="868" t="s">
        <v>24</v>
      </c>
      <c r="B26" s="871" t="s">
        <v>1229</v>
      </c>
      <c r="C26" s="871"/>
      <c r="D26" s="871"/>
      <c r="E26" s="872"/>
      <c r="F26" s="504" t="s">
        <v>526</v>
      </c>
      <c r="G26" s="672" t="s">
        <v>1333</v>
      </c>
      <c r="AA26" s="48" t="s">
        <v>526</v>
      </c>
    </row>
    <row r="27" spans="1:27" x14ac:dyDescent="0.2">
      <c r="A27" s="868"/>
      <c r="B27" s="668"/>
      <c r="C27" s="668"/>
      <c r="D27" s="668"/>
      <c r="E27" s="668"/>
      <c r="AA27" s="48" t="s">
        <v>526</v>
      </c>
    </row>
    <row r="28" spans="1:27" ht="44.25" customHeight="1" x14ac:dyDescent="0.2">
      <c r="A28" s="870" t="s">
        <v>1233</v>
      </c>
      <c r="B28" s="870"/>
      <c r="C28" s="870"/>
      <c r="D28" s="870"/>
      <c r="E28" s="870"/>
      <c r="F28" s="870"/>
    </row>
    <row r="29" spans="1:27" ht="20.25" customHeight="1" x14ac:dyDescent="0.2">
      <c r="A29" s="610" t="s">
        <v>26</v>
      </c>
      <c r="B29" s="865" t="s">
        <v>1140</v>
      </c>
      <c r="C29" s="865"/>
      <c r="D29" s="865"/>
      <c r="E29" s="866"/>
      <c r="F29" s="504" t="s">
        <v>525</v>
      </c>
      <c r="H29" s="497"/>
    </row>
    <row r="30" spans="1:27" ht="29.25" customHeight="1" x14ac:dyDescent="0.2">
      <c r="A30" s="610" t="s">
        <v>527</v>
      </c>
      <c r="B30" s="865" t="s">
        <v>1141</v>
      </c>
      <c r="C30" s="865"/>
      <c r="D30" s="865"/>
      <c r="E30" s="866"/>
      <c r="F30" s="504" t="s">
        <v>525</v>
      </c>
      <c r="G30" s="3"/>
      <c r="H30" s="673"/>
      <c r="AA30" s="48"/>
    </row>
    <row r="31" spans="1:27" ht="12" customHeight="1" x14ac:dyDescent="0.2">
      <c r="A31" s="498"/>
      <c r="B31" s="639"/>
      <c r="C31" s="639"/>
      <c r="D31" s="639"/>
      <c r="E31" s="639"/>
      <c r="F31" s="3"/>
      <c r="G31" s="3"/>
      <c r="H31" s="1"/>
      <c r="AA31" s="48"/>
    </row>
    <row r="32" spans="1:27" ht="15.75" customHeight="1" x14ac:dyDescent="0.2">
      <c r="A32" s="667" t="s">
        <v>1146</v>
      </c>
      <c r="B32" s="612"/>
      <c r="C32" s="612"/>
      <c r="D32" s="612"/>
      <c r="E32" s="612"/>
      <c r="F32" s="612"/>
      <c r="G32" s="499"/>
      <c r="H32" s="500"/>
    </row>
    <row r="33" spans="1:27" ht="11.25" customHeight="1" x14ac:dyDescent="0.2">
      <c r="A33" s="640"/>
      <c r="B33" s="594"/>
      <c r="C33" s="594"/>
      <c r="D33" s="594"/>
      <c r="E33" s="594"/>
      <c r="F33" s="594"/>
      <c r="G33" s="499"/>
      <c r="H33" s="500"/>
    </row>
    <row r="34" spans="1:27" ht="28.5" customHeight="1" x14ac:dyDescent="0.2">
      <c r="A34" s="611" t="s">
        <v>31</v>
      </c>
      <c r="B34" s="613" t="s">
        <v>528</v>
      </c>
      <c r="C34" s="613" t="s">
        <v>1151</v>
      </c>
      <c r="D34" s="613" t="s">
        <v>1152</v>
      </c>
      <c r="E34" s="879" t="s">
        <v>529</v>
      </c>
      <c r="F34" s="880"/>
      <c r="G34" s="880"/>
      <c r="H34" s="880"/>
      <c r="I34" s="880"/>
      <c r="J34" s="881"/>
    </row>
    <row r="35" spans="1:27" ht="39.75" customHeight="1" x14ac:dyDescent="0.2">
      <c r="A35" s="611"/>
      <c r="B35" s="679"/>
      <c r="C35" s="676"/>
      <c r="D35" s="104"/>
      <c r="E35" s="882"/>
      <c r="F35" s="883"/>
      <c r="G35" s="883"/>
      <c r="H35" s="883"/>
      <c r="I35" s="883"/>
      <c r="J35" s="884"/>
      <c r="AA35" s="48"/>
    </row>
    <row r="36" spans="1:27" ht="39.75" customHeight="1" x14ac:dyDescent="0.2">
      <c r="A36" s="611"/>
      <c r="B36" s="679"/>
      <c r="C36" s="676"/>
      <c r="D36" s="104"/>
      <c r="E36" s="882"/>
      <c r="F36" s="883"/>
      <c r="G36" s="883"/>
      <c r="H36" s="883"/>
      <c r="I36" s="883"/>
      <c r="J36" s="884"/>
    </row>
    <row r="37" spans="1:27" ht="39.75" customHeight="1" x14ac:dyDescent="0.2">
      <c r="A37" s="611"/>
      <c r="B37" s="679"/>
      <c r="C37" s="676"/>
      <c r="D37" s="104"/>
      <c r="E37" s="882"/>
      <c r="F37" s="883"/>
      <c r="G37" s="883"/>
      <c r="H37" s="883"/>
      <c r="I37" s="883"/>
      <c r="J37" s="884"/>
      <c r="AA37" s="48"/>
    </row>
    <row r="38" spans="1:27" ht="39.75" customHeight="1" x14ac:dyDescent="0.2">
      <c r="A38" s="611"/>
      <c r="B38" s="679"/>
      <c r="C38" s="676"/>
      <c r="D38" s="104"/>
      <c r="E38" s="882"/>
      <c r="F38" s="883"/>
      <c r="G38" s="883"/>
      <c r="H38" s="883"/>
      <c r="I38" s="883"/>
      <c r="J38" s="884"/>
      <c r="K38" s="501"/>
      <c r="L38" s="501"/>
      <c r="M38" s="501"/>
      <c r="N38" s="501"/>
      <c r="O38" s="501"/>
      <c r="P38" s="501"/>
    </row>
    <row r="39" spans="1:27" ht="16.5" customHeight="1" x14ac:dyDescent="0.2">
      <c r="A39" s="640"/>
      <c r="B39" s="614" t="s">
        <v>530</v>
      </c>
      <c r="C39" s="495">
        <f>SUM(C35:C38)</f>
        <v>0</v>
      </c>
      <c r="D39" s="599">
        <f>SUM(D35:D38)</f>
        <v>0</v>
      </c>
      <c r="E39" s="502"/>
      <c r="F39" s="492"/>
      <c r="G39" s="492"/>
      <c r="H39" s="492"/>
      <c r="I39" s="492"/>
      <c r="K39" s="501"/>
      <c r="L39" s="501"/>
      <c r="M39" s="501"/>
      <c r="N39" s="501"/>
      <c r="O39" s="501"/>
      <c r="P39" s="501"/>
    </row>
    <row r="40" spans="1:27" ht="16.5" customHeight="1" x14ac:dyDescent="0.2">
      <c r="A40" s="640"/>
      <c r="B40" s="639"/>
      <c r="C40" s="639"/>
      <c r="D40" s="502"/>
      <c r="E40" s="502"/>
      <c r="F40" s="492"/>
      <c r="G40" s="492"/>
      <c r="H40" s="492"/>
      <c r="I40" s="492"/>
      <c r="K40" s="501"/>
      <c r="L40" s="501"/>
      <c r="M40" s="501"/>
      <c r="N40" s="501"/>
      <c r="O40" s="501"/>
      <c r="P40" s="501"/>
    </row>
    <row r="41" spans="1:27" ht="19.5" customHeight="1" x14ac:dyDescent="0.2">
      <c r="A41" s="611" t="s">
        <v>33</v>
      </c>
      <c r="B41" s="180" t="s">
        <v>1147</v>
      </c>
      <c r="C41" s="180"/>
      <c r="D41" s="180"/>
      <c r="E41" s="180"/>
      <c r="F41" s="180"/>
      <c r="G41" s="180"/>
      <c r="H41" s="180"/>
      <c r="I41" s="180"/>
      <c r="K41" s="501"/>
      <c r="L41" s="501"/>
      <c r="M41" s="501"/>
      <c r="N41" s="501"/>
      <c r="O41" s="501"/>
      <c r="P41" s="501"/>
    </row>
    <row r="42" spans="1:27" x14ac:dyDescent="0.2">
      <c r="A42" s="503"/>
      <c r="B42" s="873" t="s">
        <v>1334</v>
      </c>
      <c r="C42" s="874"/>
      <c r="D42" s="874"/>
      <c r="E42" s="874"/>
      <c r="F42" s="874"/>
      <c r="G42" s="874"/>
      <c r="H42" s="874"/>
      <c r="I42" s="874"/>
    </row>
    <row r="43" spans="1:27" x14ac:dyDescent="0.2">
      <c r="A43" s="615"/>
      <c r="B43" s="875"/>
      <c r="C43" s="876"/>
      <c r="D43" s="876"/>
      <c r="E43" s="876"/>
      <c r="F43" s="876"/>
      <c r="G43" s="876"/>
      <c r="H43" s="876"/>
      <c r="I43" s="876"/>
    </row>
    <row r="44" spans="1:27" ht="12.75" customHeight="1" x14ac:dyDescent="0.2">
      <c r="A44" s="615"/>
      <c r="B44" s="875"/>
      <c r="C44" s="876"/>
      <c r="D44" s="876"/>
      <c r="E44" s="876"/>
      <c r="F44" s="876"/>
      <c r="G44" s="876"/>
      <c r="H44" s="876"/>
      <c r="I44" s="876"/>
      <c r="AA44" s="48"/>
    </row>
    <row r="45" spans="1:27" x14ac:dyDescent="0.2">
      <c r="A45" s="615"/>
      <c r="B45" s="875"/>
      <c r="C45" s="876"/>
      <c r="D45" s="876"/>
      <c r="E45" s="876"/>
      <c r="F45" s="876"/>
      <c r="G45" s="876"/>
      <c r="H45" s="876"/>
      <c r="I45" s="876"/>
    </row>
    <row r="46" spans="1:27" x14ac:dyDescent="0.2">
      <c r="A46" s="615"/>
      <c r="B46" s="877"/>
      <c r="C46" s="878"/>
      <c r="D46" s="878"/>
      <c r="E46" s="878"/>
      <c r="F46" s="878"/>
      <c r="G46" s="878"/>
      <c r="H46" s="878"/>
      <c r="I46" s="878"/>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F11" sqref="F11"/>
    </sheetView>
  </sheetViews>
  <sheetFormatPr defaultColWidth="9.6640625" defaultRowHeight="15" x14ac:dyDescent="0.25"/>
  <cols>
    <col min="1" max="1" width="25.6640625" style="510" customWidth="1"/>
    <col min="2" max="2" width="76.6640625" style="510" customWidth="1"/>
    <col min="3" max="4" width="23.6640625" style="510" customWidth="1"/>
    <col min="5" max="6" width="26.83203125" style="510" customWidth="1"/>
    <col min="7" max="7" width="45.83203125" style="510" customWidth="1"/>
    <col min="8" max="11" width="9.6640625" style="510" customWidth="1"/>
    <col min="12" max="12" width="8.83203125" style="510" hidden="1" customWidth="1"/>
    <col min="13" max="16" width="9.6640625" style="510" customWidth="1"/>
    <col min="17" max="16384" width="9.6640625" style="510"/>
  </cols>
  <sheetData>
    <row r="1" spans="1:12" x14ac:dyDescent="0.25">
      <c r="A1" s="508" t="s">
        <v>4</v>
      </c>
      <c r="B1" s="509" t="str">
        <f>'Cover Page'!D1</f>
        <v>ASU Preparatory Academy - Digital</v>
      </c>
    </row>
    <row r="2" spans="1:12" x14ac:dyDescent="0.25">
      <c r="A2" s="511" t="s">
        <v>2</v>
      </c>
      <c r="B2" s="512" t="str">
        <f>'Cover Page'!R1</f>
        <v>078284000</v>
      </c>
    </row>
    <row r="3" spans="1:12" x14ac:dyDescent="0.25">
      <c r="A3" s="511" t="s">
        <v>1</v>
      </c>
      <c r="B3" s="509" t="str">
        <f>'Cover Page'!M1</f>
        <v>Maricopa</v>
      </c>
    </row>
    <row r="4" spans="1:12" x14ac:dyDescent="0.25">
      <c r="D4" s="885" t="s">
        <v>541</v>
      </c>
      <c r="E4" s="886"/>
      <c r="F4" s="886"/>
      <c r="G4" s="887"/>
    </row>
    <row r="6" spans="1:12" ht="43.5" x14ac:dyDescent="0.25">
      <c r="A6" s="513" t="s">
        <v>542</v>
      </c>
      <c r="B6" s="514" t="s">
        <v>543</v>
      </c>
      <c r="C6" s="513" t="s">
        <v>544</v>
      </c>
      <c r="D6" s="515" t="s">
        <v>545</v>
      </c>
      <c r="E6" s="513" t="s">
        <v>546</v>
      </c>
      <c r="F6" s="513" t="s">
        <v>547</v>
      </c>
      <c r="G6" s="513" t="s">
        <v>548</v>
      </c>
    </row>
    <row r="7" spans="1:12" x14ac:dyDescent="0.25">
      <c r="A7" s="516" t="s">
        <v>549</v>
      </c>
      <c r="B7" s="517" t="s">
        <v>549</v>
      </c>
      <c r="C7" s="518" t="str">
        <f>B2</f>
        <v>078284000</v>
      </c>
      <c r="D7" s="7"/>
      <c r="E7" s="5"/>
      <c r="F7" s="8"/>
      <c r="G7" s="9"/>
      <c r="L7" s="510" t="s">
        <v>550</v>
      </c>
    </row>
    <row r="8" spans="1:12" ht="13.5" customHeight="1" x14ac:dyDescent="0.25">
      <c r="A8" s="522" t="s">
        <v>551</v>
      </c>
      <c r="B8" s="523"/>
      <c r="C8" s="523"/>
      <c r="D8" s="523"/>
      <c r="E8" s="5"/>
      <c r="F8" s="8"/>
      <c r="G8" s="5"/>
      <c r="L8" s="510" t="s">
        <v>552</v>
      </c>
    </row>
    <row r="9" spans="1:12" x14ac:dyDescent="0.25">
      <c r="A9" s="516" t="s">
        <v>553</v>
      </c>
      <c r="B9" s="523"/>
      <c r="C9" s="523"/>
      <c r="D9" s="523"/>
      <c r="E9" s="523"/>
      <c r="F9" s="8"/>
      <c r="G9" s="523"/>
      <c r="L9" s="510" t="s">
        <v>554</v>
      </c>
    </row>
    <row r="10" spans="1:12" x14ac:dyDescent="0.25">
      <c r="A10" s="516" t="s">
        <v>555</v>
      </c>
      <c r="B10" s="5" t="s">
        <v>1235</v>
      </c>
      <c r="C10" s="6" t="s">
        <v>1237</v>
      </c>
      <c r="D10" s="7"/>
      <c r="E10" s="5">
        <v>105</v>
      </c>
      <c r="F10" s="8">
        <v>300</v>
      </c>
      <c r="G10" s="9"/>
      <c r="L10" s="510" t="s">
        <v>556</v>
      </c>
    </row>
    <row r="11" spans="1:12" x14ac:dyDescent="0.25">
      <c r="A11" s="516" t="s">
        <v>557</v>
      </c>
      <c r="B11" s="5"/>
      <c r="C11" s="6"/>
      <c r="D11" s="7"/>
      <c r="E11" s="5"/>
      <c r="F11" s="8"/>
      <c r="G11" s="9"/>
      <c r="L11" s="510" t="s">
        <v>558</v>
      </c>
    </row>
    <row r="12" spans="1:12" x14ac:dyDescent="0.25">
      <c r="A12" s="516" t="s">
        <v>559</v>
      </c>
      <c r="B12" s="5"/>
      <c r="C12" s="6"/>
      <c r="D12" s="7"/>
      <c r="E12" s="5"/>
      <c r="F12" s="8"/>
      <c r="G12" s="9"/>
      <c r="L12" s="510" t="s">
        <v>560</v>
      </c>
    </row>
    <row r="13" spans="1:12" x14ac:dyDescent="0.25">
      <c r="A13" s="516" t="s">
        <v>561</v>
      </c>
      <c r="B13" s="5"/>
      <c r="C13" s="6"/>
      <c r="D13" s="7"/>
      <c r="E13" s="5"/>
      <c r="F13" s="8"/>
      <c r="G13" s="9"/>
      <c r="L13" s="510" t="s">
        <v>562</v>
      </c>
    </row>
    <row r="14" spans="1:12" x14ac:dyDescent="0.25">
      <c r="A14" s="516" t="s">
        <v>563</v>
      </c>
      <c r="B14" s="5"/>
      <c r="C14" s="6"/>
      <c r="D14" s="7"/>
      <c r="E14" s="5"/>
      <c r="F14" s="8"/>
      <c r="G14" s="9"/>
      <c r="L14" s="510" t="s">
        <v>564</v>
      </c>
    </row>
    <row r="15" spans="1:12" x14ac:dyDescent="0.25">
      <c r="A15" s="516" t="s">
        <v>565</v>
      </c>
      <c r="B15" s="5"/>
      <c r="C15" s="6"/>
      <c r="D15" s="7"/>
      <c r="E15" s="5"/>
      <c r="F15" s="8"/>
      <c r="G15" s="9"/>
      <c r="L15" s="510" t="s">
        <v>566</v>
      </c>
    </row>
    <row r="16" spans="1:12" x14ac:dyDescent="0.25">
      <c r="A16" s="516" t="s">
        <v>567</v>
      </c>
      <c r="B16" s="5"/>
      <c r="C16" s="6"/>
      <c r="D16" s="7"/>
      <c r="E16" s="5"/>
      <c r="F16" s="8"/>
      <c r="G16" s="9"/>
      <c r="L16" s="510" t="s">
        <v>568</v>
      </c>
    </row>
    <row r="17" spans="1:12" x14ac:dyDescent="0.25">
      <c r="A17" s="516" t="s">
        <v>569</v>
      </c>
      <c r="B17" s="5"/>
      <c r="C17" s="6"/>
      <c r="D17" s="7"/>
      <c r="E17" s="5"/>
      <c r="F17" s="8"/>
      <c r="G17" s="9"/>
      <c r="L17" s="510" t="s">
        <v>570</v>
      </c>
    </row>
    <row r="18" spans="1:12" x14ac:dyDescent="0.25">
      <c r="A18" s="516" t="s">
        <v>571</v>
      </c>
      <c r="B18" s="5"/>
      <c r="C18" s="6"/>
      <c r="D18" s="7"/>
      <c r="E18" s="5"/>
      <c r="F18" s="8"/>
      <c r="G18" s="9"/>
      <c r="L18" s="510" t="s">
        <v>572</v>
      </c>
    </row>
    <row r="19" spans="1:12" x14ac:dyDescent="0.25">
      <c r="A19" s="516" t="s">
        <v>573</v>
      </c>
      <c r="B19" s="5"/>
      <c r="C19" s="6"/>
      <c r="D19" s="7"/>
      <c r="E19" s="5"/>
      <c r="F19" s="8"/>
      <c r="G19" s="9"/>
      <c r="L19" s="510" t="s">
        <v>574</v>
      </c>
    </row>
    <row r="20" spans="1:12" x14ac:dyDescent="0.25">
      <c r="A20" s="516" t="s">
        <v>575</v>
      </c>
      <c r="B20" s="5"/>
      <c r="C20" s="6"/>
      <c r="D20" s="7"/>
      <c r="E20" s="5"/>
      <c r="F20" s="8"/>
      <c r="G20" s="9"/>
      <c r="L20" s="510" t="s">
        <v>576</v>
      </c>
    </row>
    <row r="21" spans="1:12" x14ac:dyDescent="0.25">
      <c r="A21" s="516" t="s">
        <v>577</v>
      </c>
      <c r="B21" s="5"/>
      <c r="C21" s="6"/>
      <c r="D21" s="7"/>
      <c r="E21" s="5"/>
      <c r="F21" s="8"/>
      <c r="G21" s="9"/>
      <c r="L21" s="510" t="s">
        <v>578</v>
      </c>
    </row>
    <row r="22" spans="1:12" x14ac:dyDescent="0.25">
      <c r="A22" s="516" t="s">
        <v>579</v>
      </c>
      <c r="B22" s="5"/>
      <c r="C22" s="6"/>
      <c r="D22" s="7"/>
      <c r="E22" s="5"/>
      <c r="F22" s="8"/>
      <c r="G22" s="9"/>
      <c r="L22" s="510" t="s">
        <v>580</v>
      </c>
    </row>
    <row r="23" spans="1:12" x14ac:dyDescent="0.25">
      <c r="A23" s="516" t="s">
        <v>581</v>
      </c>
      <c r="B23" s="5"/>
      <c r="C23" s="6"/>
      <c r="D23" s="7"/>
      <c r="E23" s="5"/>
      <c r="F23" s="8"/>
      <c r="G23" s="9"/>
      <c r="L23" s="510" t="s">
        <v>582</v>
      </c>
    </row>
    <row r="24" spans="1:12" x14ac:dyDescent="0.25">
      <c r="A24" s="516" t="s">
        <v>583</v>
      </c>
      <c r="B24" s="5"/>
      <c r="C24" s="6"/>
      <c r="D24" s="7"/>
      <c r="E24" s="5"/>
      <c r="F24" s="8"/>
      <c r="G24" s="9"/>
      <c r="L24" s="510" t="s">
        <v>584</v>
      </c>
    </row>
    <row r="25" spans="1:12" hidden="1" x14ac:dyDescent="0.25">
      <c r="A25" s="516" t="s">
        <v>585</v>
      </c>
      <c r="B25" s="516"/>
      <c r="C25" s="518"/>
      <c r="D25" s="519"/>
      <c r="E25" s="516"/>
      <c r="F25" s="520"/>
      <c r="G25" s="521"/>
      <c r="L25" s="510" t="s">
        <v>586</v>
      </c>
    </row>
    <row r="26" spans="1:12" hidden="1" x14ac:dyDescent="0.25">
      <c r="A26" s="516" t="s">
        <v>587</v>
      </c>
      <c r="B26" s="516"/>
      <c r="C26" s="518"/>
      <c r="D26" s="519"/>
      <c r="E26" s="516"/>
      <c r="F26" s="520"/>
      <c r="G26" s="521"/>
      <c r="L26" s="510" t="s">
        <v>588</v>
      </c>
    </row>
    <row r="27" spans="1:12" hidden="1" x14ac:dyDescent="0.25">
      <c r="A27" s="516" t="s">
        <v>589</v>
      </c>
      <c r="B27" s="516"/>
      <c r="C27" s="518"/>
      <c r="D27" s="519"/>
      <c r="E27" s="516"/>
      <c r="F27" s="520"/>
      <c r="G27" s="521"/>
      <c r="L27" s="510" t="s">
        <v>590</v>
      </c>
    </row>
    <row r="28" spans="1:12" hidden="1" x14ac:dyDescent="0.25">
      <c r="A28" s="516" t="s">
        <v>591</v>
      </c>
      <c r="B28" s="516"/>
      <c r="C28" s="518"/>
      <c r="D28" s="519"/>
      <c r="E28" s="516"/>
      <c r="F28" s="520"/>
      <c r="G28" s="521"/>
      <c r="L28" s="510" t="s">
        <v>592</v>
      </c>
    </row>
    <row r="29" spans="1:12" hidden="1" x14ac:dyDescent="0.25">
      <c r="A29" s="516" t="s">
        <v>593</v>
      </c>
      <c r="B29" s="516"/>
      <c r="C29" s="518"/>
      <c r="D29" s="519"/>
      <c r="E29" s="516"/>
      <c r="F29" s="520"/>
      <c r="G29" s="521"/>
      <c r="L29" s="510" t="s">
        <v>594</v>
      </c>
    </row>
    <row r="30" spans="1:12" hidden="1" x14ac:dyDescent="0.25">
      <c r="A30" s="516" t="s">
        <v>595</v>
      </c>
      <c r="B30" s="516"/>
      <c r="C30" s="518"/>
      <c r="D30" s="519"/>
      <c r="E30" s="516"/>
      <c r="F30" s="520"/>
      <c r="G30" s="521"/>
      <c r="L30" s="510" t="s">
        <v>596</v>
      </c>
    </row>
    <row r="31" spans="1:12" hidden="1" x14ac:dyDescent="0.25">
      <c r="A31" s="516" t="s">
        <v>597</v>
      </c>
      <c r="B31" s="516"/>
      <c r="C31" s="518"/>
      <c r="D31" s="519"/>
      <c r="E31" s="516"/>
      <c r="F31" s="520"/>
      <c r="G31" s="521"/>
      <c r="L31" s="510" t="s">
        <v>598</v>
      </c>
    </row>
    <row r="32" spans="1:12" hidden="1" x14ac:dyDescent="0.25">
      <c r="A32" s="516" t="s">
        <v>599</v>
      </c>
      <c r="B32" s="516"/>
      <c r="C32" s="518"/>
      <c r="D32" s="519"/>
      <c r="E32" s="516"/>
      <c r="F32" s="520"/>
      <c r="G32" s="521"/>
      <c r="L32" s="510" t="s">
        <v>600</v>
      </c>
    </row>
    <row r="33" spans="1:12" hidden="1" x14ac:dyDescent="0.25">
      <c r="A33" s="516" t="s">
        <v>601</v>
      </c>
      <c r="B33" s="516"/>
      <c r="C33" s="518"/>
      <c r="D33" s="519"/>
      <c r="E33" s="516"/>
      <c r="F33" s="520"/>
      <c r="G33" s="521"/>
      <c r="L33" s="510" t="s">
        <v>602</v>
      </c>
    </row>
    <row r="34" spans="1:12" hidden="1" x14ac:dyDescent="0.25">
      <c r="A34" s="516" t="s">
        <v>603</v>
      </c>
      <c r="B34" s="516"/>
      <c r="C34" s="518"/>
      <c r="D34" s="519"/>
      <c r="E34" s="516"/>
      <c r="F34" s="520"/>
      <c r="G34" s="521"/>
      <c r="L34" s="510" t="s">
        <v>604</v>
      </c>
    </row>
    <row r="35" spans="1:12" hidden="1" x14ac:dyDescent="0.25">
      <c r="A35" s="516" t="s">
        <v>605</v>
      </c>
      <c r="B35" s="516"/>
      <c r="C35" s="518"/>
      <c r="D35" s="519"/>
      <c r="E35" s="516"/>
      <c r="F35" s="520"/>
      <c r="G35" s="521"/>
      <c r="L35" s="510" t="s">
        <v>606</v>
      </c>
    </row>
    <row r="36" spans="1:12" hidden="1" x14ac:dyDescent="0.25">
      <c r="A36" s="516" t="s">
        <v>607</v>
      </c>
      <c r="B36" s="516"/>
      <c r="C36" s="518"/>
      <c r="D36" s="519"/>
      <c r="E36" s="516"/>
      <c r="F36" s="520"/>
      <c r="G36" s="521"/>
      <c r="L36" s="510" t="s">
        <v>608</v>
      </c>
    </row>
    <row r="37" spans="1:12" hidden="1" x14ac:dyDescent="0.25">
      <c r="A37" s="516" t="s">
        <v>609</v>
      </c>
      <c r="B37" s="516"/>
      <c r="C37" s="518"/>
      <c r="D37" s="519"/>
      <c r="E37" s="516"/>
      <c r="F37" s="520"/>
      <c r="G37" s="521"/>
      <c r="L37" s="510" t="s">
        <v>610</v>
      </c>
    </row>
    <row r="38" spans="1:12" hidden="1" x14ac:dyDescent="0.25">
      <c r="A38" s="516" t="s">
        <v>611</v>
      </c>
      <c r="B38" s="516"/>
      <c r="C38" s="518"/>
      <c r="D38" s="519"/>
      <c r="E38" s="516"/>
      <c r="F38" s="520"/>
      <c r="G38" s="521"/>
      <c r="L38" s="510" t="s">
        <v>612</v>
      </c>
    </row>
    <row r="39" spans="1:12" hidden="1" x14ac:dyDescent="0.25">
      <c r="A39" s="516" t="s">
        <v>613</v>
      </c>
      <c r="B39" s="516"/>
      <c r="C39" s="518"/>
      <c r="D39" s="519"/>
      <c r="E39" s="516"/>
      <c r="F39" s="520"/>
      <c r="G39" s="521"/>
      <c r="L39" s="510" t="s">
        <v>614</v>
      </c>
    </row>
    <row r="40" spans="1:12" hidden="1" x14ac:dyDescent="0.25">
      <c r="A40" s="516" t="s">
        <v>615</v>
      </c>
      <c r="B40" s="516"/>
      <c r="C40" s="518"/>
      <c r="D40" s="519"/>
      <c r="E40" s="516"/>
      <c r="F40" s="520"/>
      <c r="G40" s="521"/>
      <c r="L40" s="510" t="s">
        <v>616</v>
      </c>
    </row>
    <row r="41" spans="1:12" hidden="1" x14ac:dyDescent="0.25">
      <c r="A41" s="516" t="s">
        <v>617</v>
      </c>
      <c r="B41" s="516"/>
      <c r="C41" s="518"/>
      <c r="D41" s="519"/>
      <c r="E41" s="516"/>
      <c r="F41" s="520"/>
      <c r="G41" s="521"/>
      <c r="L41" s="510" t="s">
        <v>618</v>
      </c>
    </row>
    <row r="42" spans="1:12" hidden="1" x14ac:dyDescent="0.25">
      <c r="A42" s="516" t="s">
        <v>619</v>
      </c>
      <c r="B42" s="516"/>
      <c r="C42" s="518"/>
      <c r="D42" s="519"/>
      <c r="E42" s="516"/>
      <c r="F42" s="520"/>
      <c r="G42" s="521"/>
      <c r="L42" s="510" t="s">
        <v>620</v>
      </c>
    </row>
    <row r="43" spans="1:12" hidden="1" x14ac:dyDescent="0.25">
      <c r="A43" s="516" t="s">
        <v>621</v>
      </c>
      <c r="B43" s="516"/>
      <c r="C43" s="518"/>
      <c r="D43" s="519"/>
      <c r="E43" s="516"/>
      <c r="F43" s="520"/>
      <c r="G43" s="521"/>
      <c r="L43" s="510" t="s">
        <v>622</v>
      </c>
    </row>
    <row r="44" spans="1:12" hidden="1" x14ac:dyDescent="0.25">
      <c r="A44" s="516" t="s">
        <v>623</v>
      </c>
      <c r="B44" s="516"/>
      <c r="C44" s="518"/>
      <c r="D44" s="519"/>
      <c r="E44" s="516"/>
      <c r="F44" s="520"/>
      <c r="G44" s="521"/>
      <c r="L44" s="510" t="s">
        <v>624</v>
      </c>
    </row>
    <row r="45" spans="1:12" hidden="1" x14ac:dyDescent="0.25">
      <c r="A45" s="516" t="s">
        <v>625</v>
      </c>
      <c r="B45" s="516"/>
      <c r="C45" s="518"/>
      <c r="D45" s="519"/>
      <c r="E45" s="516"/>
      <c r="F45" s="520"/>
      <c r="G45" s="521"/>
      <c r="L45" s="510" t="s">
        <v>626</v>
      </c>
    </row>
    <row r="46" spans="1:12" hidden="1" x14ac:dyDescent="0.25">
      <c r="A46" s="516" t="s">
        <v>627</v>
      </c>
      <c r="B46" s="516"/>
      <c r="C46" s="518"/>
      <c r="D46" s="519"/>
      <c r="E46" s="516"/>
      <c r="F46" s="520"/>
      <c r="G46" s="521"/>
      <c r="L46" s="510" t="s">
        <v>628</v>
      </c>
    </row>
    <row r="47" spans="1:12" hidden="1" x14ac:dyDescent="0.25">
      <c r="A47" s="516" t="s">
        <v>629</v>
      </c>
      <c r="B47" s="516"/>
      <c r="C47" s="518"/>
      <c r="D47" s="519"/>
      <c r="E47" s="516"/>
      <c r="F47" s="520"/>
      <c r="G47" s="521"/>
      <c r="L47" s="510" t="s">
        <v>630</v>
      </c>
    </row>
    <row r="48" spans="1:12" hidden="1" x14ac:dyDescent="0.25">
      <c r="A48" s="516" t="s">
        <v>631</v>
      </c>
      <c r="B48" s="516"/>
      <c r="C48" s="518"/>
      <c r="D48" s="519"/>
      <c r="E48" s="516"/>
      <c r="F48" s="520"/>
      <c r="G48" s="521"/>
      <c r="L48" s="510" t="s">
        <v>632</v>
      </c>
    </row>
    <row r="49" spans="1:12" hidden="1" x14ac:dyDescent="0.25">
      <c r="A49" s="516" t="s">
        <v>633</v>
      </c>
      <c r="B49" s="516"/>
      <c r="C49" s="518"/>
      <c r="D49" s="519"/>
      <c r="E49" s="516"/>
      <c r="F49" s="520"/>
      <c r="G49" s="521"/>
      <c r="L49" s="510" t="s">
        <v>634</v>
      </c>
    </row>
    <row r="50" spans="1:12" hidden="1" x14ac:dyDescent="0.25">
      <c r="A50" s="516" t="s">
        <v>635</v>
      </c>
      <c r="B50" s="516"/>
      <c r="C50" s="518"/>
      <c r="D50" s="519"/>
      <c r="E50" s="516"/>
      <c r="F50" s="520"/>
      <c r="G50" s="521"/>
      <c r="L50" s="510" t="s">
        <v>636</v>
      </c>
    </row>
    <row r="51" spans="1:12" hidden="1" x14ac:dyDescent="0.25">
      <c r="A51" s="516" t="s">
        <v>637</v>
      </c>
      <c r="B51" s="516"/>
      <c r="C51" s="518"/>
      <c r="D51" s="519"/>
      <c r="E51" s="516"/>
      <c r="F51" s="520"/>
      <c r="G51" s="521"/>
      <c r="L51" s="510" t="s">
        <v>638</v>
      </c>
    </row>
    <row r="52" spans="1:12" hidden="1" x14ac:dyDescent="0.25">
      <c r="A52" s="516" t="s">
        <v>639</v>
      </c>
      <c r="B52" s="516"/>
      <c r="C52" s="518"/>
      <c r="D52" s="519"/>
      <c r="E52" s="516"/>
      <c r="F52" s="520"/>
      <c r="G52" s="521"/>
      <c r="L52" s="510" t="s">
        <v>640</v>
      </c>
    </row>
    <row r="53" spans="1:12" hidden="1" x14ac:dyDescent="0.25">
      <c r="A53" s="516" t="s">
        <v>641</v>
      </c>
      <c r="B53" s="516"/>
      <c r="C53" s="518"/>
      <c r="D53" s="519"/>
      <c r="E53" s="516"/>
      <c r="F53" s="520"/>
      <c r="G53" s="521"/>
      <c r="L53" s="510" t="s">
        <v>642</v>
      </c>
    </row>
    <row r="54" spans="1:12" hidden="1" x14ac:dyDescent="0.25">
      <c r="A54" s="516" t="s">
        <v>643</v>
      </c>
      <c r="B54" s="516"/>
      <c r="C54" s="518"/>
      <c r="D54" s="519"/>
      <c r="E54" s="516"/>
      <c r="F54" s="520"/>
      <c r="G54" s="521"/>
      <c r="L54" s="510" t="s">
        <v>644</v>
      </c>
    </row>
    <row r="55" spans="1:12" hidden="1" x14ac:dyDescent="0.25">
      <c r="A55" s="516" t="s">
        <v>645</v>
      </c>
      <c r="B55" s="516"/>
      <c r="C55" s="518"/>
      <c r="D55" s="519"/>
      <c r="E55" s="516"/>
      <c r="F55" s="520"/>
      <c r="G55" s="521"/>
      <c r="L55" s="510" t="s">
        <v>646</v>
      </c>
    </row>
    <row r="56" spans="1:12" hidden="1" x14ac:dyDescent="0.25">
      <c r="A56" s="516" t="s">
        <v>647</v>
      </c>
      <c r="B56" s="516"/>
      <c r="C56" s="518"/>
      <c r="D56" s="519"/>
      <c r="E56" s="516"/>
      <c r="F56" s="520"/>
      <c r="G56" s="521"/>
      <c r="L56" s="510" t="s">
        <v>648</v>
      </c>
    </row>
    <row r="57" spans="1:12" hidden="1" x14ac:dyDescent="0.25">
      <c r="A57" s="516" t="s">
        <v>649</v>
      </c>
      <c r="B57" s="516"/>
      <c r="C57" s="518"/>
      <c r="D57" s="519"/>
      <c r="E57" s="516"/>
      <c r="F57" s="520"/>
      <c r="G57" s="521"/>
      <c r="L57" s="510" t="s">
        <v>650</v>
      </c>
    </row>
    <row r="58" spans="1:12" hidden="1" x14ac:dyDescent="0.25">
      <c r="A58" s="516" t="s">
        <v>651</v>
      </c>
      <c r="B58" s="516"/>
      <c r="C58" s="518"/>
      <c r="D58" s="519"/>
      <c r="E58" s="516"/>
      <c r="F58" s="520"/>
      <c r="G58" s="521"/>
      <c r="L58" s="510" t="s">
        <v>652</v>
      </c>
    </row>
    <row r="59" spans="1:12" hidden="1" x14ac:dyDescent="0.25">
      <c r="A59" s="516" t="s">
        <v>653</v>
      </c>
      <c r="B59" s="516"/>
      <c r="C59" s="518"/>
      <c r="D59" s="519"/>
      <c r="E59" s="516"/>
      <c r="F59" s="520"/>
      <c r="G59" s="521"/>
      <c r="L59" s="510" t="s">
        <v>654</v>
      </c>
    </row>
    <row r="60" spans="1:12" hidden="1" x14ac:dyDescent="0.25">
      <c r="A60" s="516" t="s">
        <v>655</v>
      </c>
      <c r="B60" s="516"/>
      <c r="C60" s="518"/>
      <c r="D60" s="519"/>
      <c r="E60" s="516"/>
      <c r="F60" s="520"/>
      <c r="G60" s="521"/>
      <c r="L60" s="510" t="s">
        <v>656</v>
      </c>
    </row>
    <row r="61" spans="1:12" hidden="1" x14ac:dyDescent="0.25">
      <c r="A61" s="516" t="s">
        <v>657</v>
      </c>
      <c r="B61" s="516"/>
      <c r="C61" s="518"/>
      <c r="D61" s="519"/>
      <c r="E61" s="516"/>
      <c r="F61" s="520"/>
      <c r="G61" s="521"/>
      <c r="L61" s="510" t="s">
        <v>658</v>
      </c>
    </row>
    <row r="62" spans="1:12" hidden="1" x14ac:dyDescent="0.25">
      <c r="A62" s="516" t="s">
        <v>659</v>
      </c>
      <c r="B62" s="516"/>
      <c r="C62" s="518"/>
      <c r="D62" s="519"/>
      <c r="E62" s="516"/>
      <c r="F62" s="520"/>
      <c r="G62" s="521"/>
      <c r="L62" s="510" t="s">
        <v>660</v>
      </c>
    </row>
    <row r="63" spans="1:12" hidden="1" x14ac:dyDescent="0.25">
      <c r="A63" s="516" t="s">
        <v>661</v>
      </c>
      <c r="B63" s="516"/>
      <c r="C63" s="518"/>
      <c r="D63" s="519"/>
      <c r="E63" s="516"/>
      <c r="F63" s="520"/>
      <c r="G63" s="521"/>
      <c r="L63" s="510" t="s">
        <v>662</v>
      </c>
    </row>
    <row r="64" spans="1:12" hidden="1" x14ac:dyDescent="0.25">
      <c r="A64" s="516" t="s">
        <v>663</v>
      </c>
      <c r="B64" s="516"/>
      <c r="C64" s="518"/>
      <c r="D64" s="519"/>
      <c r="E64" s="516"/>
      <c r="F64" s="520"/>
      <c r="G64" s="521"/>
      <c r="L64" s="510" t="s">
        <v>664</v>
      </c>
    </row>
    <row r="65" spans="1:12" hidden="1" x14ac:dyDescent="0.25">
      <c r="A65" s="516" t="s">
        <v>665</v>
      </c>
      <c r="B65" s="516"/>
      <c r="C65" s="518"/>
      <c r="D65" s="519"/>
      <c r="E65" s="516"/>
      <c r="F65" s="520"/>
      <c r="G65" s="521"/>
      <c r="L65" s="510" t="s">
        <v>666</v>
      </c>
    </row>
    <row r="66" spans="1:12" hidden="1" x14ac:dyDescent="0.25">
      <c r="A66" s="516" t="s">
        <v>667</v>
      </c>
      <c r="B66" s="516"/>
      <c r="C66" s="518"/>
      <c r="D66" s="519"/>
      <c r="E66" s="516"/>
      <c r="F66" s="520"/>
      <c r="G66" s="521"/>
      <c r="L66" s="510" t="s">
        <v>668</v>
      </c>
    </row>
    <row r="67" spans="1:12" hidden="1" x14ac:dyDescent="0.25">
      <c r="A67" s="516" t="s">
        <v>669</v>
      </c>
      <c r="B67" s="516"/>
      <c r="C67" s="518"/>
      <c r="D67" s="519"/>
      <c r="E67" s="516"/>
      <c r="F67" s="520"/>
      <c r="G67" s="521"/>
      <c r="L67" s="510" t="s">
        <v>670</v>
      </c>
    </row>
    <row r="68" spans="1:12" hidden="1" x14ac:dyDescent="0.25">
      <c r="A68" s="516" t="s">
        <v>671</v>
      </c>
      <c r="B68" s="516"/>
      <c r="C68" s="518"/>
      <c r="D68" s="519"/>
      <c r="E68" s="516"/>
      <c r="F68" s="520"/>
      <c r="G68" s="521"/>
      <c r="L68" s="510" t="s">
        <v>672</v>
      </c>
    </row>
    <row r="69" spans="1:12" hidden="1" x14ac:dyDescent="0.25">
      <c r="A69" s="516" t="s">
        <v>673</v>
      </c>
      <c r="B69" s="516"/>
      <c r="C69" s="518"/>
      <c r="D69" s="519"/>
      <c r="E69" s="516"/>
      <c r="F69" s="520"/>
      <c r="G69" s="521"/>
      <c r="L69" s="510" t="s">
        <v>674</v>
      </c>
    </row>
    <row r="70" spans="1:12" hidden="1" x14ac:dyDescent="0.25">
      <c r="A70" s="516" t="s">
        <v>675</v>
      </c>
      <c r="B70" s="516"/>
      <c r="C70" s="518"/>
      <c r="D70" s="519"/>
      <c r="E70" s="516"/>
      <c r="F70" s="520"/>
      <c r="G70" s="521"/>
      <c r="L70" s="510" t="s">
        <v>676</v>
      </c>
    </row>
    <row r="71" spans="1:12" hidden="1" x14ac:dyDescent="0.25">
      <c r="A71" s="516" t="s">
        <v>677</v>
      </c>
      <c r="B71" s="516"/>
      <c r="C71" s="518"/>
      <c r="D71" s="519"/>
      <c r="E71" s="516"/>
      <c r="F71" s="520"/>
      <c r="G71" s="521"/>
      <c r="L71" s="510" t="s">
        <v>678</v>
      </c>
    </row>
    <row r="72" spans="1:12" hidden="1" x14ac:dyDescent="0.25">
      <c r="A72" s="516" t="s">
        <v>679</v>
      </c>
      <c r="B72" s="516"/>
      <c r="C72" s="518"/>
      <c r="D72" s="519"/>
      <c r="E72" s="516"/>
      <c r="F72" s="520"/>
      <c r="G72" s="521"/>
      <c r="L72" s="510" t="s">
        <v>680</v>
      </c>
    </row>
    <row r="73" spans="1:12" hidden="1" x14ac:dyDescent="0.25">
      <c r="A73" s="516" t="s">
        <v>681</v>
      </c>
      <c r="B73" s="516"/>
      <c r="C73" s="518"/>
      <c r="D73" s="519"/>
      <c r="E73" s="516"/>
      <c r="F73" s="520"/>
      <c r="G73" s="521"/>
      <c r="L73" s="510" t="s">
        <v>682</v>
      </c>
    </row>
    <row r="74" spans="1:12" hidden="1" x14ac:dyDescent="0.25">
      <c r="A74" s="516" t="s">
        <v>683</v>
      </c>
      <c r="B74" s="516"/>
      <c r="C74" s="518"/>
      <c r="D74" s="519"/>
      <c r="E74" s="516"/>
      <c r="F74" s="520"/>
      <c r="G74" s="521"/>
      <c r="L74" s="510" t="s">
        <v>684</v>
      </c>
    </row>
    <row r="75" spans="1:12" hidden="1" x14ac:dyDescent="0.25">
      <c r="A75" s="516" t="s">
        <v>685</v>
      </c>
      <c r="B75" s="516"/>
      <c r="C75" s="518"/>
      <c r="D75" s="519"/>
      <c r="E75" s="516"/>
      <c r="F75" s="520"/>
      <c r="G75" s="521"/>
      <c r="L75" s="510" t="s">
        <v>686</v>
      </c>
    </row>
    <row r="76" spans="1:12" hidden="1" x14ac:dyDescent="0.25">
      <c r="A76" s="516" t="s">
        <v>687</v>
      </c>
      <c r="B76" s="516"/>
      <c r="C76" s="518"/>
      <c r="D76" s="519"/>
      <c r="E76" s="516"/>
      <c r="F76" s="520"/>
      <c r="G76" s="521"/>
      <c r="L76" s="510" t="s">
        <v>688</v>
      </c>
    </row>
    <row r="77" spans="1:12" hidden="1" x14ac:dyDescent="0.25">
      <c r="A77" s="516" t="s">
        <v>689</v>
      </c>
      <c r="B77" s="516"/>
      <c r="C77" s="518"/>
      <c r="D77" s="519"/>
      <c r="E77" s="516"/>
      <c r="F77" s="520"/>
      <c r="G77" s="521"/>
      <c r="L77" s="510" t="s">
        <v>690</v>
      </c>
    </row>
    <row r="78" spans="1:12" hidden="1" x14ac:dyDescent="0.25">
      <c r="A78" s="516" t="s">
        <v>691</v>
      </c>
      <c r="B78" s="516"/>
      <c r="C78" s="518"/>
      <c r="D78" s="519"/>
      <c r="E78" s="516"/>
      <c r="F78" s="520"/>
      <c r="G78" s="521"/>
      <c r="L78" s="510" t="s">
        <v>692</v>
      </c>
    </row>
    <row r="79" spans="1:12" hidden="1" x14ac:dyDescent="0.25">
      <c r="A79" s="516" t="s">
        <v>693</v>
      </c>
      <c r="B79" s="516"/>
      <c r="C79" s="518"/>
      <c r="D79" s="519"/>
      <c r="E79" s="516"/>
      <c r="F79" s="520"/>
      <c r="G79" s="521"/>
      <c r="L79" s="510" t="s">
        <v>694</v>
      </c>
    </row>
    <row r="80" spans="1:12" hidden="1" x14ac:dyDescent="0.25">
      <c r="A80" s="516" t="s">
        <v>695</v>
      </c>
      <c r="B80" s="516"/>
      <c r="C80" s="518"/>
      <c r="D80" s="519"/>
      <c r="E80" s="516"/>
      <c r="F80" s="520"/>
      <c r="G80" s="521"/>
      <c r="L80" s="510" t="s">
        <v>696</v>
      </c>
    </row>
    <row r="81" spans="1:12" hidden="1" x14ac:dyDescent="0.25">
      <c r="A81" s="516" t="s">
        <v>697</v>
      </c>
      <c r="B81" s="516"/>
      <c r="C81" s="518"/>
      <c r="D81" s="519"/>
      <c r="E81" s="516"/>
      <c r="F81" s="520"/>
      <c r="G81" s="521"/>
      <c r="L81" s="510" t="s">
        <v>698</v>
      </c>
    </row>
    <row r="82" spans="1:12" hidden="1" x14ac:dyDescent="0.25">
      <c r="A82" s="516" t="s">
        <v>699</v>
      </c>
      <c r="B82" s="516"/>
      <c r="C82" s="518"/>
      <c r="D82" s="519"/>
      <c r="E82" s="516"/>
      <c r="F82" s="520"/>
      <c r="G82" s="521"/>
      <c r="L82" s="510" t="s">
        <v>700</v>
      </c>
    </row>
    <row r="83" spans="1:12" hidden="1" x14ac:dyDescent="0.25">
      <c r="A83" s="516" t="s">
        <v>701</v>
      </c>
      <c r="B83" s="516"/>
      <c r="C83" s="518"/>
      <c r="D83" s="519"/>
      <c r="E83" s="516"/>
      <c r="F83" s="520"/>
      <c r="G83" s="521"/>
      <c r="L83" s="510" t="s">
        <v>702</v>
      </c>
    </row>
    <row r="84" spans="1:12" hidden="1" x14ac:dyDescent="0.25">
      <c r="A84" s="516" t="s">
        <v>703</v>
      </c>
      <c r="B84" s="516"/>
      <c r="C84" s="518"/>
      <c r="D84" s="519"/>
      <c r="E84" s="516"/>
      <c r="F84" s="520"/>
      <c r="G84" s="521"/>
      <c r="L84" s="510" t="s">
        <v>704</v>
      </c>
    </row>
    <row r="85" spans="1:12" hidden="1" x14ac:dyDescent="0.25">
      <c r="A85" s="516" t="s">
        <v>705</v>
      </c>
      <c r="B85" s="516"/>
      <c r="C85" s="518"/>
      <c r="D85" s="519"/>
      <c r="E85" s="516"/>
      <c r="F85" s="520"/>
      <c r="G85" s="521"/>
      <c r="L85" s="510" t="s">
        <v>706</v>
      </c>
    </row>
    <row r="86" spans="1:12" hidden="1" x14ac:dyDescent="0.25">
      <c r="A86" s="516" t="s">
        <v>707</v>
      </c>
      <c r="B86" s="516"/>
      <c r="C86" s="518"/>
      <c r="D86" s="519"/>
      <c r="E86" s="516"/>
      <c r="F86" s="520"/>
      <c r="G86" s="521"/>
      <c r="L86" s="510" t="s">
        <v>708</v>
      </c>
    </row>
    <row r="87" spans="1:12" hidden="1" x14ac:dyDescent="0.25">
      <c r="A87" s="516" t="s">
        <v>709</v>
      </c>
      <c r="B87" s="516"/>
      <c r="C87" s="518"/>
      <c r="D87" s="519"/>
      <c r="E87" s="516"/>
      <c r="F87" s="520"/>
      <c r="G87" s="521"/>
      <c r="L87" s="510" t="s">
        <v>710</v>
      </c>
    </row>
    <row r="88" spans="1:12" hidden="1" x14ac:dyDescent="0.25">
      <c r="A88" s="516" t="s">
        <v>711</v>
      </c>
      <c r="B88" s="516"/>
      <c r="C88" s="518"/>
      <c r="D88" s="519"/>
      <c r="E88" s="516"/>
      <c r="F88" s="520"/>
      <c r="G88" s="521"/>
      <c r="L88" s="510" t="s">
        <v>712</v>
      </c>
    </row>
    <row r="89" spans="1:12" hidden="1" x14ac:dyDescent="0.25">
      <c r="A89" s="516" t="s">
        <v>713</v>
      </c>
      <c r="B89" s="516"/>
      <c r="C89" s="518"/>
      <c r="D89" s="519"/>
      <c r="E89" s="516"/>
      <c r="F89" s="520"/>
      <c r="G89" s="521"/>
      <c r="L89" s="510" t="s">
        <v>714</v>
      </c>
    </row>
    <row r="90" spans="1:12" hidden="1" x14ac:dyDescent="0.25">
      <c r="A90" s="516" t="s">
        <v>715</v>
      </c>
      <c r="B90" s="516"/>
      <c r="C90" s="518"/>
      <c r="D90" s="519"/>
      <c r="E90" s="516"/>
      <c r="F90" s="520"/>
      <c r="G90" s="521"/>
      <c r="L90" s="510" t="s">
        <v>716</v>
      </c>
    </row>
    <row r="91" spans="1:12" hidden="1" x14ac:dyDescent="0.25">
      <c r="A91" s="516" t="s">
        <v>717</v>
      </c>
      <c r="B91" s="516"/>
      <c r="C91" s="518"/>
      <c r="D91" s="519"/>
      <c r="E91" s="516"/>
      <c r="F91" s="520"/>
      <c r="G91" s="521"/>
      <c r="L91" s="510" t="s">
        <v>718</v>
      </c>
    </row>
    <row r="92" spans="1:12" hidden="1" x14ac:dyDescent="0.25">
      <c r="A92" s="516" t="s">
        <v>719</v>
      </c>
      <c r="B92" s="516"/>
      <c r="C92" s="518"/>
      <c r="D92" s="519"/>
      <c r="E92" s="516"/>
      <c r="F92" s="520"/>
      <c r="G92" s="521"/>
      <c r="L92" s="510" t="s">
        <v>720</v>
      </c>
    </row>
    <row r="93" spans="1:12" hidden="1" x14ac:dyDescent="0.25">
      <c r="A93" s="516" t="s">
        <v>721</v>
      </c>
      <c r="B93" s="516"/>
      <c r="C93" s="518"/>
      <c r="D93" s="519"/>
      <c r="E93" s="516"/>
      <c r="F93" s="520"/>
      <c r="G93" s="521"/>
      <c r="L93" s="510" t="s">
        <v>722</v>
      </c>
    </row>
    <row r="94" spans="1:12" hidden="1" x14ac:dyDescent="0.25">
      <c r="A94" s="516" t="s">
        <v>723</v>
      </c>
      <c r="B94" s="516"/>
      <c r="C94" s="518"/>
      <c r="D94" s="519"/>
      <c r="E94" s="516"/>
      <c r="F94" s="520"/>
      <c r="G94" s="521"/>
      <c r="L94" s="510" t="s">
        <v>724</v>
      </c>
    </row>
    <row r="95" spans="1:12" hidden="1" x14ac:dyDescent="0.25">
      <c r="A95" s="516" t="s">
        <v>725</v>
      </c>
      <c r="B95" s="516"/>
      <c r="C95" s="518"/>
      <c r="D95" s="519"/>
      <c r="E95" s="516"/>
      <c r="F95" s="520"/>
      <c r="G95" s="521"/>
      <c r="L95" s="510" t="s">
        <v>726</v>
      </c>
    </row>
    <row r="96" spans="1:12" hidden="1" x14ac:dyDescent="0.25">
      <c r="A96" s="516" t="s">
        <v>727</v>
      </c>
      <c r="B96" s="516"/>
      <c r="C96" s="518"/>
      <c r="D96" s="519"/>
      <c r="E96" s="516"/>
      <c r="F96" s="520"/>
      <c r="G96" s="521"/>
      <c r="L96" s="510" t="s">
        <v>728</v>
      </c>
    </row>
    <row r="97" spans="1:12" hidden="1" x14ac:dyDescent="0.25">
      <c r="A97" s="516" t="s">
        <v>729</v>
      </c>
      <c r="B97" s="516"/>
      <c r="C97" s="518"/>
      <c r="D97" s="519"/>
      <c r="E97" s="516"/>
      <c r="F97" s="520"/>
      <c r="G97" s="521"/>
      <c r="L97" s="510" t="s">
        <v>730</v>
      </c>
    </row>
    <row r="98" spans="1:12" hidden="1" x14ac:dyDescent="0.25">
      <c r="A98" s="516" t="s">
        <v>731</v>
      </c>
      <c r="B98" s="516"/>
      <c r="C98" s="518"/>
      <c r="D98" s="519"/>
      <c r="E98" s="516"/>
      <c r="F98" s="520"/>
      <c r="G98" s="521"/>
      <c r="L98" s="510" t="s">
        <v>732</v>
      </c>
    </row>
    <row r="99" spans="1:12" hidden="1" x14ac:dyDescent="0.25">
      <c r="A99" s="516" t="s">
        <v>733</v>
      </c>
      <c r="B99" s="516"/>
      <c r="C99" s="518"/>
      <c r="D99" s="519"/>
      <c r="E99" s="516"/>
      <c r="F99" s="520"/>
      <c r="G99" s="521"/>
      <c r="L99" s="510"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5"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9"/>
      <c r="B2" s="639"/>
      <c r="C2" s="499"/>
    </row>
    <row r="3" spans="1:3" s="4" customFormat="1" ht="112.5" customHeight="1" x14ac:dyDescent="0.2">
      <c r="A3" s="639" t="str">
        <f>IF('Page 2'!J48=0,"",IF(SUM('Page 3'!F25)+SUM('Page 4'!F16)+SUM('Page 5'!G8)+SUM('Page 5'!G30)&gt;'Page 1'!H27,C3,""))</f>
        <v/>
      </c>
      <c r="B3" s="639" t="str">
        <f>IF(A3="","","Restricted revenues-3200 on page 1 are not complete.")</f>
        <v/>
      </c>
      <c r="C3" s="506" t="s">
        <v>1165</v>
      </c>
    </row>
    <row r="4" spans="1:3" s="4" customFormat="1" ht="63" customHeight="1" x14ac:dyDescent="0.2">
      <c r="A4" s="639" t="str">
        <f>IF('Page 2'!J48=0,"",IF('Page 3'!F27&lt;=0,C4,""))</f>
        <v/>
      </c>
      <c r="B4" s="639" t="str">
        <f>IF(A4="","","Classroom Site Project revenue information on page 3 is not complete.")</f>
        <v/>
      </c>
      <c r="C4" s="506" t="s">
        <v>531</v>
      </c>
    </row>
    <row r="5" spans="1:3" s="4" customFormat="1" ht="78.75" customHeight="1" x14ac:dyDescent="0.2">
      <c r="A5" s="639" t="str">
        <f>IF('Page 2'!J48=0,"",IF('Page 4'!F16&lt;=0,C5,""))</f>
        <v/>
      </c>
      <c r="B5" s="639" t="str">
        <f>IF(A5="","","Instructional Improvement Project revenue on page 4 is not complete.")</f>
        <v/>
      </c>
      <c r="C5" s="506" t="s">
        <v>532</v>
      </c>
    </row>
    <row r="6" spans="1:3" s="4" customFormat="1" ht="55.5" customHeight="1" x14ac:dyDescent="0.2">
      <c r="A6" s="639" t="str">
        <f>IF('Page 2'!J48=0,"",IF(OR('Page 6'!G15="",'Page 6'!G16="",'Page 6'!G17="",'Page 6'!G18="",'Page 6'!G19=""),C6,""))</f>
        <v/>
      </c>
      <c r="B6" s="639" t="str">
        <f>IF(A6="","","Capital acquisition information on page 6, section C is not complete.")</f>
        <v/>
      </c>
      <c r="C6" s="506" t="s">
        <v>1166</v>
      </c>
    </row>
    <row r="7" spans="1:3" s="4" customFormat="1" ht="48.75" customHeight="1" x14ac:dyDescent="0.2">
      <c r="A7" s="639" t="str">
        <f>IF('Page 2'!J48=0,"",IF(OR('Page 6'!G33&lt;=0,'Page 6'!G35&lt;=0,'Page 6'!G34&lt;=0,'Page 6'!G38&lt;=0),C7,""))</f>
        <v/>
      </c>
      <c r="B7" s="639" t="str">
        <f>IF(A7="","","Current expenses on page 6, section E are not complete.")</f>
        <v/>
      </c>
      <c r="C7" s="506" t="s">
        <v>1167</v>
      </c>
    </row>
    <row r="8" spans="1:3" s="4" customFormat="1" ht="70.5" customHeight="1" x14ac:dyDescent="0.2">
      <c r="A8" s="639" t="str">
        <f>IF('Page 2'!J48=0,"",IF((SUM('Page 2'!J11,'Page 2'!J12,'Page 2'!J13,'Page 2'!J15,'Page 2'!J29,'Page 2'!J30,'Page 2'!J31,'Page 2'!J33))&gt;('Page 6'!G35),C8,""))</f>
        <v/>
      </c>
      <c r="B8" s="639" t="str">
        <f>IF(A8="","","Current administration expense on page 6, section E is not complete.")</f>
        <v/>
      </c>
      <c r="C8" s="506" t="s">
        <v>533</v>
      </c>
    </row>
    <row r="9" spans="1:3" s="4" customFormat="1" ht="39.75" customHeight="1" x14ac:dyDescent="0.2">
      <c r="A9" s="639" t="str">
        <f>IF('Page 2'!J48=0,"",IF(SUM('Page 6'!T6:T8)&lt;=0,C9,""))</f>
        <v/>
      </c>
      <c r="B9" s="639" t="str">
        <f>IF(A9="","","Page 6, section F, lines 1-3 are not complete.")</f>
        <v/>
      </c>
      <c r="C9" s="506" t="s">
        <v>534</v>
      </c>
    </row>
    <row r="10" spans="1:3" s="4" customFormat="1" ht="55.5" customHeight="1" x14ac:dyDescent="0.2">
      <c r="A10" s="639" t="str">
        <f>IF('Page 2'!J48=0,"",IF(SUM('Page 6'!M19:T23)&lt;=0,C10,""))</f>
        <v/>
      </c>
      <c r="B10" s="639" t="str">
        <f>IF(A10="","","Teacher salary information on page 6, section G is not complete.")</f>
        <v/>
      </c>
      <c r="C10" s="506" t="s">
        <v>535</v>
      </c>
    </row>
    <row r="11" spans="1:3" s="4" customFormat="1" ht="50.25" customHeight="1" x14ac:dyDescent="0.2">
      <c r="A11" s="639" t="str">
        <f>IF(SUM('Page 6'!T6:T8)=0,"",IF(AND(((SUM('Page 6'!M19:Q24,'Page 6'!T19:T24)/SUM('Page 6'!T6:T8))&gt;10000),(SUM('Page 6'!M19:Q24,'Page 6'!T19:T24)/SUM('Page 6'!T6:T8))&lt;80000),"",C11))</f>
        <v/>
      </c>
      <c r="B11" s="639" t="str">
        <f>IF(A11="","","Teacher FTE and salary information on page 6, sections F and G is not appropriate.")</f>
        <v/>
      </c>
      <c r="C11" s="506" t="s">
        <v>536</v>
      </c>
    </row>
    <row r="12" spans="1:3" s="4" customFormat="1" ht="57" customHeight="1" x14ac:dyDescent="0.2">
      <c r="A12" s="639" t="str">
        <f>IF('Page 2'!J48=0,"",IF(OR('Page 6'!T29="",'Page 6'!T29&lt;10000),C12,""))</f>
        <v/>
      </c>
      <c r="B12" s="639" t="str">
        <f>IF(A12="","","Average teacher salary information on page 6, section H is not complete.")</f>
        <v/>
      </c>
      <c r="C12" s="506" t="s">
        <v>1160</v>
      </c>
    </row>
    <row r="13" spans="1:3" s="4" customFormat="1" ht="84.75" customHeight="1" x14ac:dyDescent="0.2">
      <c r="A13" s="639" t="str">
        <f>IF('Page 2'!J48=0,"",IF(AND('Page 2'!J37&gt;0,'Page 7'!T23&lt;'Page 2'!J37),C13,""))</f>
        <v/>
      </c>
      <c r="B13" s="639" t="str">
        <f>IF(A13="","","Special education program information on page 7 is not complete.")</f>
        <v/>
      </c>
      <c r="C13" s="506" t="s">
        <v>537</v>
      </c>
    </row>
    <row r="14" spans="1:3" s="4" customFormat="1" ht="84.75" customHeight="1" x14ac:dyDescent="0.2">
      <c r="A14" s="639" t="str">
        <f>IF('Page 2'!J48=0,"",IF(OR('Page 9'!E41="",'Page 9'!E42="",'Page 9'!E43="",'Page 9'!E44="",('Page 9'!K23+'Page 9'!K26+SUM('Page 9'!E33:E36))&lt;&gt;(SUM('Page 9'!E41:E44))),C14,""))</f>
        <v/>
      </c>
      <c r="B14" s="639" t="str">
        <f>IF(A14="","","Property disbursement information on page 9 is not complete.")</f>
        <v/>
      </c>
      <c r="C14" s="506" t="s">
        <v>538</v>
      </c>
    </row>
    <row r="15" spans="1:3" s="4" customFormat="1" ht="90" customHeight="1" x14ac:dyDescent="0.2">
      <c r="A15" s="639" t="str">
        <f>IF('Page 2'!J48=0,"",IF((SUM('Page 2'!J48))&gt;(SUM('Page 9'!D23:J23)+SUM('Page 9'!D26:J26)+SUM('Page 9'!D33:D36)+'Page 9'!E48+'Page 9'!E50),C15,""))</f>
        <v/>
      </c>
      <c r="B15" s="639" t="str">
        <f>IF(A15="","","NPEFS information on page 9 is not complete.")</f>
        <v/>
      </c>
      <c r="C15" s="506" t="s">
        <v>539</v>
      </c>
    </row>
    <row r="16" spans="1:3" s="4" customFormat="1" ht="41.25" customHeight="1" x14ac:dyDescent="0.2">
      <c r="A16" s="639" t="str">
        <f>IF('Page 2'!J48=0,"",IF(OR('Page 8'!G25="",'Page 8'!H25="",'Page 8'!I25="",'Page 8'!K25="",'Page 8'!M25=""),C16,""))</f>
        <v/>
      </c>
      <c r="B16" s="639" t="str">
        <f>IF(A16="","","COVID-19 information on page 8, line 19 is not complete.")</f>
        <v/>
      </c>
      <c r="C16" s="506" t="s">
        <v>540</v>
      </c>
    </row>
    <row r="17" spans="1:3" ht="43.5" customHeight="1" x14ac:dyDescent="0.2">
      <c r="A17" s="507"/>
      <c r="B17" s="4"/>
      <c r="C17" s="4"/>
    </row>
    <row r="18" spans="1:3" ht="63" customHeight="1" x14ac:dyDescent="0.2">
      <c r="A18" s="639"/>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44" zoomScaleNormal="100" workbookViewId="0">
      <selection activeCell="C47" sqref="C47"/>
    </sheetView>
  </sheetViews>
  <sheetFormatPr defaultColWidth="9.33203125" defaultRowHeight="12.75" x14ac:dyDescent="0.2"/>
  <cols>
    <col min="1" max="1" width="11.83203125" style="156" customWidth="1"/>
    <col min="2" max="2" width="25" style="156" customWidth="1"/>
    <col min="3" max="3" width="112.1640625" style="156" customWidth="1"/>
    <col min="4" max="4" width="32.6640625" style="554" customWidth="1"/>
    <col min="5" max="5" width="9.33203125" style="156" customWidth="1"/>
    <col min="6" max="6" width="17.6640625" style="156" customWidth="1"/>
    <col min="7" max="10" width="9.33203125" style="156" customWidth="1"/>
    <col min="11" max="16384" width="9.33203125" style="156"/>
  </cols>
  <sheetData>
    <row r="1" spans="1:7" ht="24.75" customHeight="1" x14ac:dyDescent="0.2">
      <c r="A1" s="524" t="s">
        <v>735</v>
      </c>
      <c r="B1" s="524" t="s">
        <v>736</v>
      </c>
      <c r="C1" s="524" t="s">
        <v>737</v>
      </c>
      <c r="D1" s="524" t="s">
        <v>738</v>
      </c>
    </row>
    <row r="2" spans="1:7" ht="65.25" customHeight="1" x14ac:dyDescent="0.2">
      <c r="A2" s="888" t="s">
        <v>739</v>
      </c>
      <c r="B2" s="889"/>
      <c r="C2" s="525" t="s">
        <v>740</v>
      </c>
      <c r="D2" s="526"/>
    </row>
    <row r="3" spans="1:7" ht="68.25" customHeight="1" x14ac:dyDescent="0.2">
      <c r="A3" s="890"/>
      <c r="B3" s="891"/>
      <c r="C3" s="527" t="s">
        <v>741</v>
      </c>
      <c r="D3" s="526"/>
      <c r="F3" s="528"/>
      <c r="G3" s="159"/>
    </row>
    <row r="4" spans="1:7" ht="73.5" customHeight="1" x14ac:dyDescent="0.2">
      <c r="A4" s="890"/>
      <c r="B4" s="891"/>
      <c r="C4" s="529" t="s">
        <v>1138</v>
      </c>
      <c r="D4" s="526"/>
    </row>
    <row r="5" spans="1:7" ht="216.75" customHeight="1" x14ac:dyDescent="0.2">
      <c r="A5" s="890"/>
      <c r="B5" s="891"/>
      <c r="C5" s="525" t="s">
        <v>1209</v>
      </c>
      <c r="D5" s="526"/>
    </row>
    <row r="6" spans="1:7" ht="85.5" customHeight="1" x14ac:dyDescent="0.2">
      <c r="A6" s="892"/>
      <c r="B6" s="893"/>
      <c r="C6" s="529" t="s">
        <v>742</v>
      </c>
      <c r="D6" s="526"/>
    </row>
    <row r="7" spans="1:7" ht="54.75" customHeight="1" x14ac:dyDescent="0.2">
      <c r="A7" s="530" t="s">
        <v>743</v>
      </c>
      <c r="B7" s="531" t="s">
        <v>744</v>
      </c>
      <c r="C7" s="529" t="s">
        <v>745</v>
      </c>
      <c r="D7" s="526"/>
    </row>
    <row r="8" spans="1:7" ht="187.5" customHeight="1" x14ac:dyDescent="0.2">
      <c r="A8" s="532" t="s">
        <v>746</v>
      </c>
      <c r="B8" s="531" t="s">
        <v>744</v>
      </c>
      <c r="C8" s="525" t="s">
        <v>747</v>
      </c>
      <c r="D8" s="526"/>
    </row>
    <row r="9" spans="1:7" ht="215.25" customHeight="1" x14ac:dyDescent="0.2">
      <c r="A9" s="894" t="s">
        <v>748</v>
      </c>
      <c r="B9" s="896" t="s">
        <v>739</v>
      </c>
      <c r="C9" s="527" t="s">
        <v>749</v>
      </c>
      <c r="D9" s="526"/>
    </row>
    <row r="10" spans="1:7" ht="217.5" customHeight="1" x14ac:dyDescent="0.2">
      <c r="A10" s="895"/>
      <c r="B10" s="897"/>
      <c r="C10" s="533" t="s">
        <v>750</v>
      </c>
      <c r="D10" s="526"/>
    </row>
    <row r="11" spans="1:7" ht="21" customHeight="1" x14ac:dyDescent="0.2">
      <c r="A11" s="534">
        <v>1</v>
      </c>
      <c r="B11" s="535" t="s">
        <v>739</v>
      </c>
      <c r="C11" s="529" t="s">
        <v>751</v>
      </c>
      <c r="D11" s="526"/>
    </row>
    <row r="12" spans="1:7" ht="54" customHeight="1" x14ac:dyDescent="0.2">
      <c r="A12" s="536">
        <v>1</v>
      </c>
      <c r="B12" s="535" t="s">
        <v>752</v>
      </c>
      <c r="C12" s="537" t="s">
        <v>753</v>
      </c>
      <c r="D12" s="526"/>
    </row>
    <row r="13" spans="1:7" ht="122.25" customHeight="1" x14ac:dyDescent="0.2">
      <c r="A13" s="536">
        <v>1</v>
      </c>
      <c r="B13" s="538" t="s">
        <v>754</v>
      </c>
      <c r="C13" s="539" t="s">
        <v>755</v>
      </c>
      <c r="D13" s="526"/>
    </row>
    <row r="14" spans="1:7" ht="69.75" customHeight="1" x14ac:dyDescent="0.2">
      <c r="A14" s="536">
        <v>1</v>
      </c>
      <c r="B14" s="538" t="s">
        <v>756</v>
      </c>
      <c r="C14" s="539" t="s">
        <v>757</v>
      </c>
      <c r="D14" s="526"/>
    </row>
    <row r="15" spans="1:7" ht="69.75" customHeight="1" x14ac:dyDescent="0.2">
      <c r="A15" s="536">
        <v>1</v>
      </c>
      <c r="B15" s="538" t="s">
        <v>758</v>
      </c>
      <c r="C15" s="539" t="s">
        <v>759</v>
      </c>
      <c r="D15" s="526"/>
    </row>
    <row r="16" spans="1:7" ht="129" customHeight="1" x14ac:dyDescent="0.2">
      <c r="A16" s="534">
        <v>2</v>
      </c>
      <c r="B16" s="538" t="s">
        <v>760</v>
      </c>
      <c r="C16" s="539" t="s">
        <v>761</v>
      </c>
      <c r="D16" s="529"/>
    </row>
    <row r="17" spans="1:4" ht="54.75" customHeight="1" x14ac:dyDescent="0.2">
      <c r="A17" s="534">
        <v>2</v>
      </c>
      <c r="B17" s="538" t="s">
        <v>762</v>
      </c>
      <c r="C17" s="529" t="s">
        <v>1162</v>
      </c>
      <c r="D17" s="526"/>
    </row>
    <row r="18" spans="1:4" ht="84" customHeight="1" x14ac:dyDescent="0.2">
      <c r="A18" s="659">
        <v>3</v>
      </c>
      <c r="B18" s="538" t="s">
        <v>165</v>
      </c>
      <c r="C18" s="537" t="s">
        <v>763</v>
      </c>
      <c r="D18" s="540"/>
    </row>
    <row r="19" spans="1:4" ht="54" customHeight="1" x14ac:dyDescent="0.2">
      <c r="A19" s="659">
        <v>3</v>
      </c>
      <c r="B19" s="538" t="s">
        <v>764</v>
      </c>
      <c r="C19" s="537" t="s">
        <v>765</v>
      </c>
      <c r="D19" s="495"/>
    </row>
    <row r="20" spans="1:4" ht="42.75" customHeight="1" x14ac:dyDescent="0.2">
      <c r="A20" s="660">
        <v>3</v>
      </c>
      <c r="B20" s="538" t="s">
        <v>766</v>
      </c>
      <c r="C20" s="537" t="s">
        <v>767</v>
      </c>
      <c r="D20" s="495"/>
    </row>
    <row r="21" spans="1:4" ht="69.75" customHeight="1" x14ac:dyDescent="0.2">
      <c r="A21" s="659">
        <v>3</v>
      </c>
      <c r="B21" s="538" t="s">
        <v>768</v>
      </c>
      <c r="C21" s="537" t="s">
        <v>1163</v>
      </c>
      <c r="D21" s="540"/>
    </row>
    <row r="22" spans="1:4" ht="124.5" customHeight="1" x14ac:dyDescent="0.2">
      <c r="A22" s="659">
        <v>4</v>
      </c>
      <c r="B22" s="538" t="s">
        <v>769</v>
      </c>
      <c r="C22" s="539" t="s">
        <v>770</v>
      </c>
      <c r="D22" s="541"/>
    </row>
    <row r="23" spans="1:4" ht="99.75" customHeight="1" x14ac:dyDescent="0.2">
      <c r="A23" s="659">
        <v>6</v>
      </c>
      <c r="B23" s="538" t="s">
        <v>771</v>
      </c>
      <c r="C23" s="539" t="s">
        <v>1210</v>
      </c>
      <c r="D23" s="526"/>
    </row>
    <row r="24" spans="1:4" ht="93.75" customHeight="1" x14ac:dyDescent="0.2">
      <c r="A24" s="659">
        <v>6</v>
      </c>
      <c r="B24" s="538" t="s">
        <v>772</v>
      </c>
      <c r="C24" s="539" t="s">
        <v>1211</v>
      </c>
      <c r="D24" s="526"/>
    </row>
    <row r="25" spans="1:4" ht="45.75" customHeight="1" x14ac:dyDescent="0.2">
      <c r="A25" s="659">
        <v>6</v>
      </c>
      <c r="B25" s="538" t="s">
        <v>773</v>
      </c>
      <c r="C25" s="539" t="s">
        <v>1212</v>
      </c>
      <c r="D25" s="526"/>
    </row>
    <row r="26" spans="1:4" ht="111" customHeight="1" x14ac:dyDescent="0.2">
      <c r="A26" s="659">
        <v>6</v>
      </c>
      <c r="B26" s="538" t="s">
        <v>774</v>
      </c>
      <c r="C26" s="539" t="s">
        <v>1213</v>
      </c>
      <c r="D26" s="526"/>
    </row>
    <row r="27" spans="1:4" ht="51" x14ac:dyDescent="0.2">
      <c r="A27" s="659">
        <v>6</v>
      </c>
      <c r="B27" s="538" t="s">
        <v>775</v>
      </c>
      <c r="C27" s="539" t="s">
        <v>1214</v>
      </c>
      <c r="D27" s="526"/>
    </row>
    <row r="28" spans="1:4" ht="173.25" customHeight="1" x14ac:dyDescent="0.2">
      <c r="A28" s="659">
        <v>6</v>
      </c>
      <c r="B28" s="538" t="s">
        <v>776</v>
      </c>
      <c r="C28" s="539" t="s">
        <v>777</v>
      </c>
      <c r="D28" s="526"/>
    </row>
    <row r="29" spans="1:4" ht="69.75" customHeight="1" x14ac:dyDescent="0.2">
      <c r="A29" s="659">
        <v>6</v>
      </c>
      <c r="B29" s="641" t="s">
        <v>778</v>
      </c>
      <c r="C29" s="539" t="s">
        <v>779</v>
      </c>
      <c r="D29" s="526"/>
    </row>
    <row r="30" spans="1:4" ht="53.25" customHeight="1" x14ac:dyDescent="0.2">
      <c r="A30" s="659">
        <v>6</v>
      </c>
      <c r="B30" s="641" t="s">
        <v>780</v>
      </c>
      <c r="C30" s="539" t="s">
        <v>781</v>
      </c>
      <c r="D30" s="526"/>
    </row>
    <row r="31" spans="1:4" ht="77.25" customHeight="1" x14ac:dyDescent="0.2">
      <c r="A31" s="659">
        <v>6</v>
      </c>
      <c r="B31" s="538" t="s">
        <v>782</v>
      </c>
      <c r="C31" s="525" t="s">
        <v>783</v>
      </c>
      <c r="D31" s="526"/>
    </row>
    <row r="32" spans="1:4" ht="45.75" customHeight="1" x14ac:dyDescent="0.2">
      <c r="A32" s="659">
        <v>6</v>
      </c>
      <c r="B32" s="538" t="s">
        <v>784</v>
      </c>
      <c r="C32" s="539" t="s">
        <v>785</v>
      </c>
      <c r="D32" s="526"/>
    </row>
    <row r="33" spans="1:15" ht="47.25" customHeight="1" x14ac:dyDescent="0.2">
      <c r="A33" s="659">
        <v>6</v>
      </c>
      <c r="B33" s="538" t="s">
        <v>786</v>
      </c>
      <c r="C33" s="539" t="s">
        <v>787</v>
      </c>
      <c r="D33" s="526"/>
    </row>
    <row r="34" spans="1:15" ht="38.25" x14ac:dyDescent="0.2">
      <c r="A34" s="659">
        <v>6</v>
      </c>
      <c r="B34" s="538" t="s">
        <v>788</v>
      </c>
      <c r="C34" s="539" t="s">
        <v>789</v>
      </c>
      <c r="D34" s="526"/>
    </row>
    <row r="35" spans="1:15" ht="38.25" x14ac:dyDescent="0.2">
      <c r="A35" s="659">
        <v>6</v>
      </c>
      <c r="B35" s="538" t="s">
        <v>790</v>
      </c>
      <c r="C35" s="539" t="s">
        <v>791</v>
      </c>
      <c r="D35" s="526"/>
    </row>
    <row r="36" spans="1:15" s="159" customFormat="1" ht="38.25" x14ac:dyDescent="0.2">
      <c r="A36" s="659">
        <v>6</v>
      </c>
      <c r="B36" s="641" t="s">
        <v>792</v>
      </c>
      <c r="C36" s="539" t="s">
        <v>793</v>
      </c>
      <c r="D36" s="495"/>
    </row>
    <row r="37" spans="1:15" s="159" customFormat="1" ht="57.75" customHeight="1" x14ac:dyDescent="0.2">
      <c r="A37" s="659">
        <v>6</v>
      </c>
      <c r="B37" s="641" t="s">
        <v>794</v>
      </c>
      <c r="C37" s="539" t="s">
        <v>1215</v>
      </c>
      <c r="D37" s="542"/>
    </row>
    <row r="38" spans="1:15" s="159" customFormat="1" ht="30.75" customHeight="1" x14ac:dyDescent="0.2">
      <c r="A38" s="659">
        <v>7</v>
      </c>
      <c r="B38" s="538" t="s">
        <v>795</v>
      </c>
      <c r="C38" s="539" t="s">
        <v>796</v>
      </c>
      <c r="D38" s="495"/>
      <c r="E38" s="597"/>
      <c r="F38" s="597"/>
      <c r="G38" s="597"/>
      <c r="H38" s="597"/>
      <c r="I38" s="597"/>
      <c r="J38" s="597"/>
      <c r="K38" s="597"/>
      <c r="L38" s="597"/>
      <c r="M38" s="597"/>
      <c r="N38" s="597"/>
      <c r="O38" s="597"/>
    </row>
    <row r="39" spans="1:15" ht="114.75" customHeight="1" x14ac:dyDescent="0.2">
      <c r="A39" s="659">
        <v>7</v>
      </c>
      <c r="B39" s="538" t="s">
        <v>797</v>
      </c>
      <c r="C39" s="525" t="s">
        <v>798</v>
      </c>
      <c r="D39" s="526"/>
    </row>
    <row r="40" spans="1:15" ht="42" customHeight="1" x14ac:dyDescent="0.2">
      <c r="A40" s="659">
        <v>7</v>
      </c>
      <c r="B40" s="538" t="s">
        <v>799</v>
      </c>
      <c r="C40" s="529" t="s">
        <v>800</v>
      </c>
      <c r="D40" s="526"/>
    </row>
    <row r="41" spans="1:15" ht="39.75" customHeight="1" x14ac:dyDescent="0.2">
      <c r="A41" s="659">
        <v>7</v>
      </c>
      <c r="B41" s="538" t="s">
        <v>801</v>
      </c>
      <c r="C41" s="539" t="s">
        <v>802</v>
      </c>
      <c r="D41" s="526"/>
    </row>
    <row r="42" spans="1:15" ht="54" customHeight="1" x14ac:dyDescent="0.2">
      <c r="A42" s="659">
        <v>8</v>
      </c>
      <c r="B42" s="538" t="s">
        <v>857</v>
      </c>
      <c r="C42" s="691" t="s">
        <v>1224</v>
      </c>
      <c r="D42" s="526"/>
    </row>
    <row r="43" spans="1:15" ht="114" customHeight="1" x14ac:dyDescent="0.2">
      <c r="A43" s="659">
        <v>8</v>
      </c>
      <c r="B43" s="538" t="s">
        <v>316</v>
      </c>
      <c r="C43" s="693" t="s">
        <v>1226</v>
      </c>
      <c r="D43" s="693" t="s">
        <v>1227</v>
      </c>
    </row>
    <row r="44" spans="1:15" ht="114.75" customHeight="1" x14ac:dyDescent="0.2">
      <c r="A44" s="659">
        <v>8</v>
      </c>
      <c r="B44" s="538" t="s">
        <v>803</v>
      </c>
      <c r="C44" s="539" t="s">
        <v>804</v>
      </c>
      <c r="D44" s="543"/>
    </row>
    <row r="45" spans="1:15" ht="30" customHeight="1" x14ac:dyDescent="0.2">
      <c r="A45" s="659">
        <v>8</v>
      </c>
      <c r="B45" s="538" t="s">
        <v>1161</v>
      </c>
      <c r="C45" s="529" t="s">
        <v>805</v>
      </c>
      <c r="D45" s="526"/>
    </row>
    <row r="46" spans="1:15" ht="265.5" customHeight="1" x14ac:dyDescent="0.2">
      <c r="A46" s="659">
        <v>9</v>
      </c>
      <c r="B46" s="538" t="s">
        <v>739</v>
      </c>
      <c r="C46" s="690" t="s">
        <v>1223</v>
      </c>
      <c r="D46" s="526"/>
    </row>
    <row r="47" spans="1:15" ht="69" customHeight="1" x14ac:dyDescent="0.2">
      <c r="A47" s="659">
        <v>9</v>
      </c>
      <c r="B47" s="538" t="s">
        <v>162</v>
      </c>
      <c r="C47" s="529" t="s">
        <v>1168</v>
      </c>
      <c r="D47" s="526"/>
    </row>
    <row r="48" spans="1:15" ht="69.75" customHeight="1" x14ac:dyDescent="0.2">
      <c r="A48" s="659">
        <v>9</v>
      </c>
      <c r="B48" s="641" t="s">
        <v>398</v>
      </c>
      <c r="C48" s="525" t="s">
        <v>1169</v>
      </c>
      <c r="D48" s="526"/>
    </row>
    <row r="49" spans="1:9" ht="53.25" customHeight="1" x14ac:dyDescent="0.2">
      <c r="A49" s="659">
        <v>9</v>
      </c>
      <c r="B49" s="538" t="s">
        <v>407</v>
      </c>
      <c r="C49" s="544" t="s">
        <v>1170</v>
      </c>
      <c r="D49" s="526"/>
    </row>
    <row r="50" spans="1:9" ht="107.25" customHeight="1" x14ac:dyDescent="0.2">
      <c r="A50" s="657">
        <v>9</v>
      </c>
      <c r="B50" s="641" t="s">
        <v>806</v>
      </c>
      <c r="C50" s="545" t="s">
        <v>807</v>
      </c>
      <c r="D50" s="526"/>
    </row>
    <row r="51" spans="1:9" ht="18" customHeight="1" x14ac:dyDescent="0.2">
      <c r="A51" s="661"/>
      <c r="B51" s="546"/>
      <c r="C51" s="547" t="s">
        <v>808</v>
      </c>
      <c r="D51" s="526"/>
    </row>
    <row r="52" spans="1:9" ht="53.25" customHeight="1" x14ac:dyDescent="0.2">
      <c r="A52" s="661"/>
      <c r="B52" s="546"/>
      <c r="C52" s="545" t="s">
        <v>809</v>
      </c>
      <c r="D52" s="526"/>
    </row>
    <row r="53" spans="1:9" ht="21.75" customHeight="1" x14ac:dyDescent="0.2">
      <c r="A53" s="661"/>
      <c r="B53" s="546"/>
      <c r="C53" s="547" t="s">
        <v>810</v>
      </c>
      <c r="D53" s="526"/>
    </row>
    <row r="54" spans="1:9" ht="52.5" customHeight="1" x14ac:dyDescent="0.2">
      <c r="A54" s="661"/>
      <c r="B54" s="546"/>
      <c r="C54" s="545" t="s">
        <v>811</v>
      </c>
      <c r="D54" s="526"/>
    </row>
    <row r="55" spans="1:9" ht="19.5" customHeight="1" x14ac:dyDescent="0.2">
      <c r="A55" s="662"/>
      <c r="B55" s="546"/>
      <c r="C55" s="547" t="s">
        <v>812</v>
      </c>
      <c r="D55" s="526"/>
    </row>
    <row r="56" spans="1:9" ht="51" customHeight="1" x14ac:dyDescent="0.2">
      <c r="A56" s="662"/>
      <c r="B56" s="546"/>
      <c r="C56" s="545" t="s">
        <v>813</v>
      </c>
      <c r="D56" s="526"/>
    </row>
    <row r="57" spans="1:9" ht="19.5" customHeight="1" x14ac:dyDescent="0.2">
      <c r="A57" s="662"/>
      <c r="B57" s="546"/>
      <c r="C57" s="547" t="s">
        <v>814</v>
      </c>
      <c r="D57" s="526"/>
    </row>
    <row r="58" spans="1:9" ht="29.25" customHeight="1" x14ac:dyDescent="0.2">
      <c r="A58" s="662"/>
      <c r="B58" s="546"/>
      <c r="C58" s="545" t="s">
        <v>815</v>
      </c>
      <c r="D58" s="526"/>
    </row>
    <row r="59" spans="1:9" ht="19.5" customHeight="1" x14ac:dyDescent="0.2">
      <c r="A59" s="663"/>
      <c r="B59" s="546"/>
      <c r="C59" s="547" t="s">
        <v>816</v>
      </c>
      <c r="D59" s="526"/>
    </row>
    <row r="60" spans="1:9" ht="138.75" customHeight="1" x14ac:dyDescent="0.2">
      <c r="A60" s="659">
        <v>9</v>
      </c>
      <c r="B60" s="538" t="s">
        <v>817</v>
      </c>
      <c r="C60" s="525" t="s">
        <v>818</v>
      </c>
      <c r="D60" s="526"/>
    </row>
    <row r="61" spans="1:9" ht="171" customHeight="1" x14ac:dyDescent="0.2">
      <c r="A61" s="659">
        <v>9</v>
      </c>
      <c r="B61" s="531" t="s">
        <v>396</v>
      </c>
      <c r="C61" s="525" t="s">
        <v>819</v>
      </c>
      <c r="D61" s="526"/>
    </row>
    <row r="62" spans="1:9" ht="57" customHeight="1" x14ac:dyDescent="0.2">
      <c r="A62" s="659">
        <v>9</v>
      </c>
      <c r="B62" s="531" t="s">
        <v>820</v>
      </c>
      <c r="C62" s="525" t="s">
        <v>821</v>
      </c>
      <c r="D62" s="526"/>
    </row>
    <row r="63" spans="1:9" ht="213" customHeight="1" x14ac:dyDescent="0.2">
      <c r="A63" s="659">
        <v>9</v>
      </c>
      <c r="B63" s="538" t="s">
        <v>822</v>
      </c>
      <c r="C63" s="539" t="s">
        <v>823</v>
      </c>
      <c r="D63" s="548"/>
      <c r="I63" s="159"/>
    </row>
    <row r="64" spans="1:9" ht="60" customHeight="1" x14ac:dyDescent="0.2">
      <c r="A64" s="659">
        <v>9</v>
      </c>
      <c r="B64" s="538" t="s">
        <v>424</v>
      </c>
      <c r="C64" s="549" t="s">
        <v>824</v>
      </c>
      <c r="D64" s="550"/>
    </row>
    <row r="65" spans="1:4" ht="57.75" customHeight="1" x14ac:dyDescent="0.2">
      <c r="A65" s="657">
        <v>10</v>
      </c>
      <c r="B65" s="538" t="s">
        <v>739</v>
      </c>
      <c r="C65" s="642" t="s">
        <v>825</v>
      </c>
      <c r="D65" s="643"/>
    </row>
    <row r="66" spans="1:4" ht="60" customHeight="1" x14ac:dyDescent="0.2">
      <c r="A66" s="657">
        <v>10</v>
      </c>
      <c r="B66" s="538" t="s">
        <v>431</v>
      </c>
      <c r="C66" s="549" t="s">
        <v>826</v>
      </c>
      <c r="D66" s="643"/>
    </row>
    <row r="67" spans="1:4" ht="60" customHeight="1" x14ac:dyDescent="0.2">
      <c r="A67" s="657">
        <v>10</v>
      </c>
      <c r="B67" s="538" t="s">
        <v>827</v>
      </c>
      <c r="C67" s="537" t="s">
        <v>828</v>
      </c>
      <c r="D67" s="550"/>
    </row>
    <row r="68" spans="1:4" ht="60" customHeight="1" x14ac:dyDescent="0.2">
      <c r="A68" s="657">
        <v>10</v>
      </c>
      <c r="B68" s="538" t="s">
        <v>829</v>
      </c>
      <c r="C68" s="537" t="s">
        <v>830</v>
      </c>
      <c r="D68" s="550"/>
    </row>
    <row r="69" spans="1:4" ht="67.5" customHeight="1" x14ac:dyDescent="0.2">
      <c r="A69" s="657">
        <v>10</v>
      </c>
      <c r="B69" s="538" t="s">
        <v>162</v>
      </c>
      <c r="C69" s="537" t="s">
        <v>831</v>
      </c>
      <c r="D69" s="550"/>
    </row>
    <row r="70" spans="1:4" ht="81.75" customHeight="1" x14ac:dyDescent="0.2">
      <c r="A70" s="657">
        <v>10</v>
      </c>
      <c r="B70" s="538" t="s">
        <v>832</v>
      </c>
      <c r="C70" s="537" t="s">
        <v>833</v>
      </c>
      <c r="D70" s="550"/>
    </row>
    <row r="71" spans="1:4" ht="60" customHeight="1" x14ac:dyDescent="0.2">
      <c r="A71" s="657">
        <v>10</v>
      </c>
      <c r="B71" s="538" t="s">
        <v>834</v>
      </c>
      <c r="C71" s="537" t="s">
        <v>835</v>
      </c>
      <c r="D71" s="550"/>
    </row>
    <row r="72" spans="1:4" ht="60" customHeight="1" x14ac:dyDescent="0.2">
      <c r="A72" s="898">
        <v>10</v>
      </c>
      <c r="B72" s="900" t="s">
        <v>469</v>
      </c>
      <c r="C72" s="644" t="s">
        <v>1172</v>
      </c>
      <c r="D72" s="645"/>
    </row>
    <row r="73" spans="1:4" ht="19.5" customHeight="1" x14ac:dyDescent="0.2">
      <c r="A73" s="899"/>
      <c r="B73" s="901"/>
      <c r="C73" s="688" t="s">
        <v>836</v>
      </c>
      <c r="D73" s="495"/>
    </row>
    <row r="74" spans="1:4" ht="44.25" customHeight="1" x14ac:dyDescent="0.2">
      <c r="A74" s="657">
        <v>10</v>
      </c>
      <c r="B74" s="538" t="s">
        <v>837</v>
      </c>
      <c r="C74" s="646" t="s">
        <v>838</v>
      </c>
      <c r="D74" s="647"/>
    </row>
    <row r="75" spans="1:4" ht="45.75" customHeight="1" x14ac:dyDescent="0.2">
      <c r="A75" s="657">
        <v>10</v>
      </c>
      <c r="B75" s="538" t="s">
        <v>839</v>
      </c>
      <c r="C75" s="537" t="s">
        <v>840</v>
      </c>
      <c r="D75" s="550"/>
    </row>
    <row r="76" spans="1:4" ht="46.5" customHeight="1" x14ac:dyDescent="0.2">
      <c r="A76" s="657">
        <v>10</v>
      </c>
      <c r="B76" s="538" t="s">
        <v>841</v>
      </c>
      <c r="C76" s="537" t="s">
        <v>842</v>
      </c>
      <c r="D76" s="550"/>
    </row>
    <row r="77" spans="1:4" ht="86.25" customHeight="1" x14ac:dyDescent="0.2">
      <c r="A77" s="657">
        <v>10</v>
      </c>
      <c r="B77" s="538" t="s">
        <v>843</v>
      </c>
      <c r="C77" s="537" t="s">
        <v>844</v>
      </c>
      <c r="D77" s="550"/>
    </row>
    <row r="78" spans="1:4" ht="25.5" x14ac:dyDescent="0.2">
      <c r="A78" s="657">
        <v>10</v>
      </c>
      <c r="B78" s="538" t="s">
        <v>845</v>
      </c>
      <c r="C78" s="537" t="s">
        <v>846</v>
      </c>
      <c r="D78" s="550"/>
    </row>
    <row r="79" spans="1:4" ht="342" customHeight="1" x14ac:dyDescent="0.2">
      <c r="A79" s="657">
        <v>10</v>
      </c>
      <c r="B79" s="538" t="s">
        <v>847</v>
      </c>
      <c r="C79" s="539" t="s">
        <v>848</v>
      </c>
      <c r="D79" s="550"/>
    </row>
    <row r="80" spans="1:4" ht="125.25" customHeight="1" x14ac:dyDescent="0.2">
      <c r="A80" s="657">
        <v>10</v>
      </c>
      <c r="B80" s="538" t="s">
        <v>849</v>
      </c>
      <c r="C80" s="539" t="s">
        <v>1216</v>
      </c>
      <c r="D80" s="550"/>
    </row>
    <row r="81" spans="1:10" ht="72" customHeight="1" x14ac:dyDescent="0.2">
      <c r="A81" s="657">
        <v>10</v>
      </c>
      <c r="B81" s="538" t="s">
        <v>1217</v>
      </c>
      <c r="C81" s="537" t="s">
        <v>1218</v>
      </c>
      <c r="D81" s="550"/>
    </row>
    <row r="82" spans="1:10" ht="69" customHeight="1" x14ac:dyDescent="0.2">
      <c r="A82" s="657">
        <v>10</v>
      </c>
      <c r="B82" s="538" t="s">
        <v>1219</v>
      </c>
      <c r="C82" s="539" t="s">
        <v>1220</v>
      </c>
      <c r="D82" s="550"/>
    </row>
    <row r="83" spans="1:10" ht="108.75" customHeight="1" x14ac:dyDescent="0.2">
      <c r="A83" s="657">
        <v>10</v>
      </c>
      <c r="B83" s="538" t="s">
        <v>850</v>
      </c>
      <c r="C83" s="539" t="s">
        <v>1171</v>
      </c>
      <c r="D83" s="550"/>
    </row>
    <row r="84" spans="1:10" ht="130.5" customHeight="1" x14ac:dyDescent="0.2">
      <c r="A84" s="657">
        <v>10</v>
      </c>
      <c r="B84" s="538" t="s">
        <v>851</v>
      </c>
      <c r="C84" s="539" t="s">
        <v>852</v>
      </c>
      <c r="D84" s="550"/>
    </row>
    <row r="85" spans="1:10" ht="81.75" customHeight="1" x14ac:dyDescent="0.2">
      <c r="A85" s="657" t="s">
        <v>853</v>
      </c>
      <c r="B85" s="648" t="s">
        <v>739</v>
      </c>
      <c r="C85" s="649" t="s">
        <v>854</v>
      </c>
      <c r="D85" s="643"/>
    </row>
    <row r="86" spans="1:10" s="4" customFormat="1" ht="29.25" customHeight="1" x14ac:dyDescent="0.2">
      <c r="A86" s="657" t="s">
        <v>853</v>
      </c>
      <c r="B86" s="648" t="s">
        <v>855</v>
      </c>
      <c r="C86" s="650" t="s">
        <v>1221</v>
      </c>
      <c r="D86" s="495"/>
    </row>
    <row r="87" spans="1:10" ht="81" customHeight="1" x14ac:dyDescent="0.2">
      <c r="A87" s="657" t="s">
        <v>853</v>
      </c>
      <c r="B87" s="538" t="s">
        <v>856</v>
      </c>
      <c r="C87" s="549" t="s">
        <v>1222</v>
      </c>
      <c r="D87" s="643"/>
    </row>
    <row r="88" spans="1:10" ht="69" customHeight="1" x14ac:dyDescent="0.2">
      <c r="A88" s="657" t="s">
        <v>853</v>
      </c>
      <c r="B88" s="538" t="s">
        <v>857</v>
      </c>
      <c r="C88" s="691" t="s">
        <v>1228</v>
      </c>
      <c r="D88" s="550"/>
    </row>
    <row r="89" spans="1:10" ht="79.5" customHeight="1" x14ac:dyDescent="0.2">
      <c r="A89" s="658" t="s">
        <v>1234</v>
      </c>
      <c r="B89" s="648" t="s">
        <v>858</v>
      </c>
      <c r="C89" s="692" t="s">
        <v>1208</v>
      </c>
      <c r="D89" s="651"/>
    </row>
    <row r="90" spans="1:10" ht="51" x14ac:dyDescent="0.2">
      <c r="A90" s="658" t="s">
        <v>1234</v>
      </c>
      <c r="B90" s="648" t="s">
        <v>859</v>
      </c>
      <c r="C90" s="692" t="s">
        <v>1153</v>
      </c>
      <c r="D90" s="651"/>
      <c r="E90" s="551"/>
      <c r="F90" s="551"/>
      <c r="G90" s="551"/>
      <c r="H90" s="551"/>
      <c r="I90" s="551"/>
      <c r="J90" s="551"/>
    </row>
    <row r="91" spans="1:10" ht="42.6" customHeight="1" x14ac:dyDescent="0.2">
      <c r="A91" s="658" t="s">
        <v>1234</v>
      </c>
      <c r="B91" s="648" t="s">
        <v>860</v>
      </c>
      <c r="C91" s="549" t="s">
        <v>1225</v>
      </c>
      <c r="D91" s="651"/>
      <c r="E91" s="551"/>
      <c r="F91" s="551"/>
      <c r="G91" s="551"/>
      <c r="H91" s="551"/>
      <c r="I91" s="551"/>
      <c r="J91" s="551"/>
    </row>
    <row r="92" spans="1:10" ht="55.5" customHeight="1" x14ac:dyDescent="0.2">
      <c r="A92" s="658" t="s">
        <v>1234</v>
      </c>
      <c r="B92" s="648" t="s">
        <v>861</v>
      </c>
      <c r="C92" s="549" t="s">
        <v>862</v>
      </c>
      <c r="D92" s="651"/>
      <c r="E92" s="551"/>
      <c r="F92" s="551"/>
      <c r="G92" s="551"/>
      <c r="H92" s="551"/>
      <c r="I92" s="551"/>
      <c r="J92" s="551"/>
    </row>
    <row r="93" spans="1:10" ht="51" x14ac:dyDescent="0.2">
      <c r="A93" s="658" t="s">
        <v>1234</v>
      </c>
      <c r="B93" s="648" t="s">
        <v>863</v>
      </c>
      <c r="C93" s="549" t="s">
        <v>1230</v>
      </c>
      <c r="D93" s="651"/>
      <c r="E93" s="551"/>
      <c r="F93" s="551"/>
      <c r="G93" s="551"/>
      <c r="H93" s="551"/>
      <c r="I93" s="551"/>
      <c r="J93" s="551"/>
    </row>
    <row r="94" spans="1:10" ht="51" x14ac:dyDescent="0.2">
      <c r="A94" s="658" t="s">
        <v>1234</v>
      </c>
      <c r="B94" s="648" t="s">
        <v>864</v>
      </c>
      <c r="C94" s="692" t="s">
        <v>1154</v>
      </c>
      <c r="D94" s="651"/>
      <c r="E94" s="551"/>
      <c r="F94" s="551"/>
      <c r="G94" s="551"/>
      <c r="H94" s="551"/>
      <c r="I94" s="551"/>
      <c r="J94" s="551"/>
    </row>
    <row r="95" spans="1:10" ht="54" customHeight="1" x14ac:dyDescent="0.2">
      <c r="A95" s="658" t="s">
        <v>1234</v>
      </c>
      <c r="B95" s="538" t="s">
        <v>1155</v>
      </c>
      <c r="C95" s="692" t="s">
        <v>1156</v>
      </c>
      <c r="D95" s="651"/>
      <c r="E95" s="551"/>
      <c r="F95" s="551"/>
      <c r="G95" s="551"/>
      <c r="H95" s="551"/>
      <c r="I95" s="551"/>
      <c r="J95" s="551"/>
    </row>
    <row r="96" spans="1:10" ht="51" x14ac:dyDescent="0.3">
      <c r="A96" s="658" t="s">
        <v>1234</v>
      </c>
      <c r="B96" s="648" t="s">
        <v>865</v>
      </c>
      <c r="C96" s="650" t="s">
        <v>866</v>
      </c>
      <c r="D96" s="652"/>
    </row>
    <row r="97" spans="1:4" ht="51" x14ac:dyDescent="0.3">
      <c r="A97" s="658" t="s">
        <v>1234</v>
      </c>
      <c r="B97" s="648" t="s">
        <v>867</v>
      </c>
      <c r="C97" s="650" t="s">
        <v>868</v>
      </c>
      <c r="D97" s="652"/>
    </row>
    <row r="98" spans="1:4" ht="51" x14ac:dyDescent="0.3">
      <c r="A98" s="658" t="s">
        <v>1234</v>
      </c>
      <c r="B98" s="648" t="s">
        <v>869</v>
      </c>
      <c r="C98" s="650" t="s">
        <v>870</v>
      </c>
      <c r="D98" s="652"/>
    </row>
    <row r="99" spans="1:4" ht="56.25" customHeight="1" x14ac:dyDescent="0.3">
      <c r="A99" s="658" t="s">
        <v>1234</v>
      </c>
      <c r="B99" s="653" t="s">
        <v>871</v>
      </c>
      <c r="C99" s="650" t="s">
        <v>872</v>
      </c>
      <c r="D99" s="654"/>
    </row>
    <row r="100" spans="1:4" ht="51" x14ac:dyDescent="0.2">
      <c r="A100" s="658" t="s">
        <v>1234</v>
      </c>
      <c r="B100" s="538" t="s">
        <v>873</v>
      </c>
      <c r="C100" s="549" t="s">
        <v>1157</v>
      </c>
      <c r="D100" s="655"/>
    </row>
    <row r="101" spans="1:4" ht="95.1" customHeight="1" x14ac:dyDescent="0.2">
      <c r="A101" s="658" t="s">
        <v>1234</v>
      </c>
      <c r="B101" s="538" t="s">
        <v>874</v>
      </c>
      <c r="C101" s="674" t="s">
        <v>1231</v>
      </c>
      <c r="D101" s="656"/>
    </row>
    <row r="102" spans="1:4" ht="89.25" x14ac:dyDescent="0.2">
      <c r="A102" s="658" t="s">
        <v>1234</v>
      </c>
      <c r="B102" s="538" t="s">
        <v>875</v>
      </c>
      <c r="C102" s="674" t="s">
        <v>1158</v>
      </c>
      <c r="D102" s="656"/>
    </row>
    <row r="103" spans="1:4" x14ac:dyDescent="0.2">
      <c r="A103" s="552"/>
      <c r="C103" s="629"/>
      <c r="D103" s="553"/>
    </row>
    <row r="104" spans="1:4" x14ac:dyDescent="0.2">
      <c r="C104" s="629"/>
      <c r="D104" s="553"/>
    </row>
    <row r="105" spans="1:4" x14ac:dyDescent="0.2">
      <c r="C105" s="629"/>
      <c r="D105" s="553"/>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workbookViewId="0">
      <selection activeCell="H157" sqref="H157:H923"/>
    </sheetView>
  </sheetViews>
  <sheetFormatPr defaultColWidth="9.6640625" defaultRowHeight="15" x14ac:dyDescent="0.25"/>
  <cols>
    <col min="1" max="1" width="14.83203125" style="11" bestFit="1" customWidth="1"/>
    <col min="2" max="2" width="11.6640625" style="696" bestFit="1" customWidth="1"/>
    <col min="3" max="3" width="15.1640625" style="11" bestFit="1" customWidth="1"/>
    <col min="4" max="4" width="15.5" style="11" bestFit="1" customWidth="1"/>
    <col min="5" max="5" width="16.83203125" style="11" bestFit="1" customWidth="1"/>
    <col min="6" max="6" width="18.33203125" style="11" bestFit="1" customWidth="1"/>
    <col min="7" max="7" width="25.1640625" style="18" bestFit="1" customWidth="1"/>
    <col min="8" max="8" width="27.83203125" style="11" customWidth="1"/>
    <col min="9" max="9" width="15.1640625" style="11" bestFit="1" customWidth="1"/>
    <col min="10" max="10" width="15.5" style="11" bestFit="1" customWidth="1"/>
    <col min="11" max="11" width="13.33203125" style="11" bestFit="1" customWidth="1"/>
    <col min="12" max="12" width="11" style="11" bestFit="1" customWidth="1"/>
    <col min="13" max="13" width="62.1640625" style="13" bestFit="1" customWidth="1"/>
    <col min="14" max="14" width="61.5" style="13" bestFit="1" customWidth="1"/>
    <col min="15" max="15" width="50.33203125" style="13" bestFit="1" customWidth="1"/>
    <col min="16" max="16" width="100.1640625" style="13" bestFit="1" customWidth="1"/>
    <col min="17" max="24" width="9.6640625" style="11" customWidth="1"/>
    <col min="25" max="25" width="35.1640625" style="11" bestFit="1" customWidth="1"/>
    <col min="26" max="29" width="9.6640625" style="11" customWidth="1"/>
    <col min="30" max="16384" width="9.6640625" style="11"/>
  </cols>
  <sheetData>
    <row r="1" spans="1:25" ht="48" customHeight="1" x14ac:dyDescent="0.25">
      <c r="A1" s="10" t="s">
        <v>1243</v>
      </c>
      <c r="B1" s="702" t="s">
        <v>1244</v>
      </c>
      <c r="C1" s="10" t="s">
        <v>880</v>
      </c>
      <c r="D1" s="10" t="s">
        <v>881</v>
      </c>
      <c r="E1" s="10" t="s">
        <v>876</v>
      </c>
      <c r="F1" s="10" t="s">
        <v>877</v>
      </c>
      <c r="G1" s="16" t="s">
        <v>878</v>
      </c>
      <c r="H1" s="10" t="s">
        <v>879</v>
      </c>
      <c r="I1" s="10" t="s">
        <v>880</v>
      </c>
      <c r="J1" s="10" t="s">
        <v>881</v>
      </c>
      <c r="K1" s="10" t="s">
        <v>882</v>
      </c>
      <c r="L1" s="10" t="s">
        <v>883</v>
      </c>
      <c r="M1" s="19" t="s">
        <v>884</v>
      </c>
      <c r="N1" s="19" t="s">
        <v>885</v>
      </c>
      <c r="O1" s="19" t="s">
        <v>886</v>
      </c>
      <c r="P1" s="19" t="s">
        <v>887</v>
      </c>
    </row>
    <row r="2" spans="1:25" ht="14.25" customHeight="1" x14ac:dyDescent="0.25">
      <c r="A2" s="694">
        <v>41306</v>
      </c>
      <c r="B2" s="12">
        <v>1000</v>
      </c>
      <c r="C2" s="12">
        <v>100</v>
      </c>
      <c r="D2" s="12">
        <v>0</v>
      </c>
      <c r="E2" s="12"/>
      <c r="F2" s="697" t="s">
        <v>1245</v>
      </c>
      <c r="G2" s="701">
        <v>-530</v>
      </c>
      <c r="H2" s="12" t="s">
        <v>889</v>
      </c>
      <c r="I2" s="12" t="s">
        <v>893</v>
      </c>
      <c r="J2" s="12" t="s">
        <v>21</v>
      </c>
      <c r="K2" s="12" t="s">
        <v>935</v>
      </c>
      <c r="L2" s="12"/>
      <c r="M2" s="11"/>
      <c r="N2" s="11"/>
      <c r="O2" s="11"/>
      <c r="P2" s="11"/>
      <c r="Y2" s="11" t="s">
        <v>888</v>
      </c>
    </row>
    <row r="3" spans="1:25" ht="14.25" customHeight="1" x14ac:dyDescent="0.25">
      <c r="A3" s="12">
        <v>41309</v>
      </c>
      <c r="B3" s="12">
        <v>1000</v>
      </c>
      <c r="C3" s="12">
        <v>100</v>
      </c>
      <c r="D3" s="12">
        <v>1000</v>
      </c>
      <c r="E3" s="12"/>
      <c r="F3" s="697" t="s">
        <v>1246</v>
      </c>
      <c r="G3" s="701">
        <v>675</v>
      </c>
      <c r="H3" s="12" t="s">
        <v>889</v>
      </c>
      <c r="I3" s="12" t="s">
        <v>893</v>
      </c>
      <c r="J3" s="12" t="s">
        <v>894</v>
      </c>
      <c r="K3" s="12" t="s">
        <v>935</v>
      </c>
      <c r="L3" s="12"/>
      <c r="M3" s="14" t="s">
        <v>889</v>
      </c>
      <c r="N3" s="20" t="s">
        <v>888</v>
      </c>
      <c r="O3" s="20" t="s">
        <v>888</v>
      </c>
      <c r="P3" s="20" t="s">
        <v>888</v>
      </c>
      <c r="Y3" s="11" t="s">
        <v>21</v>
      </c>
    </row>
    <row r="4" spans="1:25" ht="14.25" customHeight="1" x14ac:dyDescent="0.25">
      <c r="A4" s="12">
        <v>41510</v>
      </c>
      <c r="B4" s="12">
        <v>1000</v>
      </c>
      <c r="C4" s="12">
        <v>100</v>
      </c>
      <c r="D4" s="12">
        <v>1000</v>
      </c>
      <c r="E4" s="12"/>
      <c r="F4" s="697" t="s">
        <v>1247</v>
      </c>
      <c r="G4" s="701">
        <v>-108176.66</v>
      </c>
      <c r="H4" s="12" t="s">
        <v>889</v>
      </c>
      <c r="I4" s="12" t="s">
        <v>893</v>
      </c>
      <c r="J4" s="12" t="s">
        <v>894</v>
      </c>
      <c r="K4" s="12" t="s">
        <v>951</v>
      </c>
      <c r="L4" s="12"/>
      <c r="M4" s="20" t="s">
        <v>890</v>
      </c>
      <c r="N4" s="20" t="s">
        <v>21</v>
      </c>
      <c r="O4" s="20" t="s">
        <v>21</v>
      </c>
      <c r="P4" s="20" t="s">
        <v>891</v>
      </c>
      <c r="Y4" s="11">
        <f>'School listing'!F7</f>
        <v>0</v>
      </c>
    </row>
    <row r="5" spans="1:25" ht="14.25" customHeight="1" x14ac:dyDescent="0.25">
      <c r="A5" s="695">
        <v>41701</v>
      </c>
      <c r="B5" s="695">
        <v>1000</v>
      </c>
      <c r="C5" s="695">
        <v>100</v>
      </c>
      <c r="D5" s="695">
        <v>0</v>
      </c>
      <c r="E5" s="23"/>
      <c r="F5" s="698" t="s">
        <v>1248</v>
      </c>
      <c r="G5" s="698">
        <v>-545</v>
      </c>
      <c r="H5" s="23" t="s">
        <v>889</v>
      </c>
      <c r="I5" s="23" t="s">
        <v>893</v>
      </c>
      <c r="J5" s="23" t="s">
        <v>21</v>
      </c>
      <c r="K5" s="23" t="s">
        <v>959</v>
      </c>
      <c r="L5" s="23"/>
      <c r="M5" s="20" t="s">
        <v>892</v>
      </c>
      <c r="N5" s="20" t="s">
        <v>893</v>
      </c>
      <c r="O5" s="20" t="s">
        <v>894</v>
      </c>
      <c r="P5" s="20" t="s">
        <v>895</v>
      </c>
      <c r="Y5" s="11">
        <f>'School listing'!F8</f>
        <v>0</v>
      </c>
    </row>
    <row r="6" spans="1:25" ht="14.25" customHeight="1" x14ac:dyDescent="0.25">
      <c r="A6" s="12">
        <v>41701</v>
      </c>
      <c r="B6" s="12">
        <v>1000</v>
      </c>
      <c r="C6" s="12">
        <v>100</v>
      </c>
      <c r="D6" s="12">
        <v>1000</v>
      </c>
      <c r="E6" s="12"/>
      <c r="F6" s="697" t="s">
        <v>1248</v>
      </c>
      <c r="G6" s="701">
        <v>-22108.28</v>
      </c>
      <c r="H6" s="12" t="s">
        <v>889</v>
      </c>
      <c r="I6" s="12" t="s">
        <v>893</v>
      </c>
      <c r="J6" s="12" t="s">
        <v>894</v>
      </c>
      <c r="K6" s="12" t="s">
        <v>959</v>
      </c>
      <c r="L6" s="12"/>
      <c r="M6" s="20" t="s">
        <v>896</v>
      </c>
      <c r="N6" s="20" t="s">
        <v>897</v>
      </c>
      <c r="O6" s="20" t="s">
        <v>898</v>
      </c>
      <c r="P6" s="20" t="s">
        <v>899</v>
      </c>
      <c r="Y6" s="11">
        <f>'School listing'!F9</f>
        <v>0</v>
      </c>
    </row>
    <row r="7" spans="1:25" ht="14.25" customHeight="1" x14ac:dyDescent="0.25">
      <c r="A7" s="12">
        <v>41701</v>
      </c>
      <c r="B7" s="12">
        <v>1756</v>
      </c>
      <c r="C7" s="12">
        <v>615</v>
      </c>
      <c r="D7" s="12">
        <v>0</v>
      </c>
      <c r="E7" s="12"/>
      <c r="F7" s="697" t="s">
        <v>1248</v>
      </c>
      <c r="G7" s="701">
        <v>-140</v>
      </c>
      <c r="H7" s="12" t="s">
        <v>997</v>
      </c>
      <c r="I7" s="12" t="s">
        <v>937</v>
      </c>
      <c r="J7" s="12" t="s">
        <v>21</v>
      </c>
      <c r="K7" s="12" t="s">
        <v>959</v>
      </c>
      <c r="L7" s="12"/>
      <c r="M7" s="20" t="s">
        <v>900</v>
      </c>
      <c r="N7" s="21" t="s">
        <v>901</v>
      </c>
      <c r="O7" s="20" t="s">
        <v>902</v>
      </c>
      <c r="P7" s="20" t="s">
        <v>903</v>
      </c>
      <c r="Y7" s="11">
        <f>'School listing'!F10</f>
        <v>300</v>
      </c>
    </row>
    <row r="8" spans="1:25" ht="14.25" customHeight="1" x14ac:dyDescent="0.25">
      <c r="A8" s="12">
        <v>41701</v>
      </c>
      <c r="B8" s="12">
        <v>1756</v>
      </c>
      <c r="C8" s="12">
        <v>615</v>
      </c>
      <c r="D8" s="12">
        <v>1000</v>
      </c>
      <c r="E8" s="12"/>
      <c r="F8" s="697" t="s">
        <v>1248</v>
      </c>
      <c r="G8" s="701">
        <v>-1155</v>
      </c>
      <c r="H8" s="12" t="s">
        <v>997</v>
      </c>
      <c r="I8" s="12" t="s">
        <v>937</v>
      </c>
      <c r="J8" s="12" t="s">
        <v>894</v>
      </c>
      <c r="K8" s="12" t="s">
        <v>959</v>
      </c>
      <c r="L8" s="12"/>
      <c r="M8" s="20" t="s">
        <v>904</v>
      </c>
      <c r="N8" s="21" t="s">
        <v>905</v>
      </c>
      <c r="O8" s="20" t="s">
        <v>906</v>
      </c>
      <c r="P8" s="20" t="s">
        <v>907</v>
      </c>
      <c r="Y8" s="11">
        <f>'School listing'!F11</f>
        <v>0</v>
      </c>
    </row>
    <row r="9" spans="1:25" ht="14.25" customHeight="1" x14ac:dyDescent="0.25">
      <c r="A9" s="12">
        <v>41701</v>
      </c>
      <c r="B9" s="12">
        <v>1910</v>
      </c>
      <c r="C9" s="15">
        <v>615</v>
      </c>
      <c r="D9" s="12">
        <v>1000</v>
      </c>
      <c r="E9" s="12"/>
      <c r="F9" s="697" t="s">
        <v>1248</v>
      </c>
      <c r="G9" s="701">
        <v>0</v>
      </c>
      <c r="H9" s="12" t="s">
        <v>997</v>
      </c>
      <c r="I9" s="12" t="s">
        <v>937</v>
      </c>
      <c r="J9" s="12" t="s">
        <v>894</v>
      </c>
      <c r="K9" s="12" t="s">
        <v>959</v>
      </c>
      <c r="L9" s="12"/>
      <c r="M9" s="20" t="s">
        <v>908</v>
      </c>
      <c r="N9" s="21" t="s">
        <v>909</v>
      </c>
      <c r="O9" s="20" t="s">
        <v>910</v>
      </c>
      <c r="P9" s="20" t="s">
        <v>911</v>
      </c>
      <c r="Y9" s="11">
        <f>'School listing'!F12</f>
        <v>0</v>
      </c>
    </row>
    <row r="10" spans="1:25" x14ac:dyDescent="0.25">
      <c r="A10" s="696">
        <v>41791</v>
      </c>
      <c r="B10" s="696">
        <v>1601</v>
      </c>
      <c r="C10" s="696">
        <v>100</v>
      </c>
      <c r="D10" s="696">
        <v>0</v>
      </c>
      <c r="F10" s="699" t="s">
        <v>1249</v>
      </c>
      <c r="G10" s="701">
        <v>0</v>
      </c>
      <c r="H10" s="12" t="s">
        <v>997</v>
      </c>
      <c r="I10" s="12" t="s">
        <v>893</v>
      </c>
      <c r="J10" s="12" t="s">
        <v>21</v>
      </c>
      <c r="K10" s="12" t="s">
        <v>963</v>
      </c>
      <c r="L10" s="12"/>
      <c r="M10" s="20" t="s">
        <v>912</v>
      </c>
      <c r="N10" s="20" t="s">
        <v>913</v>
      </c>
      <c r="O10" s="20" t="s">
        <v>914</v>
      </c>
      <c r="P10" s="20" t="s">
        <v>915</v>
      </c>
      <c r="Y10" s="11">
        <f>'School listing'!F13</f>
        <v>0</v>
      </c>
    </row>
    <row r="11" spans="1:25" x14ac:dyDescent="0.25">
      <c r="A11" s="696">
        <v>41791</v>
      </c>
      <c r="B11" s="696">
        <v>1601</v>
      </c>
      <c r="C11" s="696">
        <v>610</v>
      </c>
      <c r="D11" s="696">
        <v>0</v>
      </c>
      <c r="F11" s="700" t="s">
        <v>1249</v>
      </c>
      <c r="G11" s="701">
        <v>-1453.62</v>
      </c>
      <c r="H11" s="12" t="s">
        <v>997</v>
      </c>
      <c r="I11" s="12" t="s">
        <v>937</v>
      </c>
      <c r="J11" s="12" t="s">
        <v>21</v>
      </c>
      <c r="K11" s="12" t="s">
        <v>963</v>
      </c>
      <c r="L11" s="12"/>
      <c r="M11" s="20" t="s">
        <v>916</v>
      </c>
      <c r="N11" s="21" t="s">
        <v>917</v>
      </c>
      <c r="O11" s="20" t="s">
        <v>918</v>
      </c>
      <c r="P11" s="20" t="s">
        <v>919</v>
      </c>
      <c r="Y11" s="11">
        <f>'School listing'!F14</f>
        <v>0</v>
      </c>
    </row>
    <row r="12" spans="1:25" x14ac:dyDescent="0.25">
      <c r="A12" s="696">
        <v>41791</v>
      </c>
      <c r="B12" s="696">
        <v>1601</v>
      </c>
      <c r="C12" s="696">
        <v>610</v>
      </c>
      <c r="D12" s="696">
        <v>1000</v>
      </c>
      <c r="F12" s="700" t="s">
        <v>1249</v>
      </c>
      <c r="G12" s="701">
        <v>1717.62</v>
      </c>
      <c r="H12" s="12" t="s">
        <v>997</v>
      </c>
      <c r="I12" s="12" t="s">
        <v>937</v>
      </c>
      <c r="J12" s="12" t="s">
        <v>894</v>
      </c>
      <c r="K12" s="12" t="s">
        <v>963</v>
      </c>
      <c r="L12" s="12"/>
      <c r="M12" s="20" t="s">
        <v>920</v>
      </c>
      <c r="N12" s="21" t="s">
        <v>921</v>
      </c>
      <c r="O12" s="20" t="s">
        <v>922</v>
      </c>
      <c r="P12" s="20" t="s">
        <v>923</v>
      </c>
      <c r="Y12" s="11">
        <f>'School listing'!F15</f>
        <v>0</v>
      </c>
    </row>
    <row r="13" spans="1:25" x14ac:dyDescent="0.25">
      <c r="A13" s="696">
        <v>41791</v>
      </c>
      <c r="B13" s="696">
        <v>1601</v>
      </c>
      <c r="C13" s="696">
        <v>610</v>
      </c>
      <c r="D13" s="696">
        <v>2500</v>
      </c>
      <c r="F13" s="700" t="s">
        <v>1249</v>
      </c>
      <c r="G13" s="701">
        <v>-24</v>
      </c>
      <c r="H13" s="12" t="s">
        <v>997</v>
      </c>
      <c r="I13" s="12" t="s">
        <v>937</v>
      </c>
      <c r="J13" s="12" t="s">
        <v>926</v>
      </c>
      <c r="K13" s="12" t="s">
        <v>963</v>
      </c>
      <c r="L13" s="12"/>
      <c r="M13" s="20" t="s">
        <v>924</v>
      </c>
      <c r="N13" s="20" t="s">
        <v>925</v>
      </c>
      <c r="O13" s="20" t="s">
        <v>926</v>
      </c>
      <c r="P13" s="20" t="s">
        <v>927</v>
      </c>
      <c r="Y13" s="11">
        <f>'School listing'!F16</f>
        <v>0</v>
      </c>
    </row>
    <row r="14" spans="1:25" x14ac:dyDescent="0.25">
      <c r="A14" s="696">
        <v>41791</v>
      </c>
      <c r="B14" s="696">
        <v>1756</v>
      </c>
      <c r="C14" s="696">
        <v>610</v>
      </c>
      <c r="D14" s="696">
        <v>1000</v>
      </c>
      <c r="F14" s="700" t="s">
        <v>1249</v>
      </c>
      <c r="G14" s="701">
        <v>-5251.62</v>
      </c>
      <c r="H14" s="12" t="s">
        <v>997</v>
      </c>
      <c r="I14" s="12" t="s">
        <v>937</v>
      </c>
      <c r="J14" s="12" t="s">
        <v>894</v>
      </c>
      <c r="K14" s="12" t="s">
        <v>963</v>
      </c>
      <c r="L14" s="12"/>
      <c r="M14" s="20" t="s">
        <v>928</v>
      </c>
      <c r="N14" s="20" t="s">
        <v>929</v>
      </c>
      <c r="O14" s="20" t="s">
        <v>930</v>
      </c>
      <c r="P14" s="20" t="s">
        <v>931</v>
      </c>
      <c r="Y14" s="11">
        <f>'School listing'!F17</f>
        <v>0</v>
      </c>
    </row>
    <row r="15" spans="1:25" x14ac:dyDescent="0.25">
      <c r="A15" s="696">
        <v>41792</v>
      </c>
      <c r="B15" s="696">
        <v>1601</v>
      </c>
      <c r="C15" s="696">
        <v>610</v>
      </c>
      <c r="D15" s="696">
        <v>1000</v>
      </c>
      <c r="F15" s="700" t="s">
        <v>1250</v>
      </c>
      <c r="G15" s="701">
        <v>-216</v>
      </c>
      <c r="H15" s="12" t="s">
        <v>997</v>
      </c>
      <c r="I15" s="12" t="s">
        <v>937</v>
      </c>
      <c r="J15" s="12" t="s">
        <v>894</v>
      </c>
      <c r="K15" s="12" t="s">
        <v>963</v>
      </c>
      <c r="L15" s="12"/>
      <c r="M15" s="20" t="s">
        <v>932</v>
      </c>
      <c r="N15" s="20" t="s">
        <v>933</v>
      </c>
      <c r="O15" s="20" t="s">
        <v>934</v>
      </c>
      <c r="P15" s="22" t="s">
        <v>935</v>
      </c>
      <c r="Y15" s="11">
        <f>'School listing'!F18</f>
        <v>0</v>
      </c>
    </row>
    <row r="16" spans="1:25" x14ac:dyDescent="0.25">
      <c r="A16" s="696">
        <v>41792</v>
      </c>
      <c r="B16" s="696">
        <v>1601</v>
      </c>
      <c r="C16" s="696">
        <v>610</v>
      </c>
      <c r="D16" s="696">
        <v>2500</v>
      </c>
      <c r="F16" s="700" t="s">
        <v>1250</v>
      </c>
      <c r="G16" s="701">
        <v>-24</v>
      </c>
      <c r="H16" s="12" t="s">
        <v>997</v>
      </c>
      <c r="I16" s="12" t="s">
        <v>937</v>
      </c>
      <c r="J16" s="12" t="s">
        <v>926</v>
      </c>
      <c r="K16" s="12" t="s">
        <v>963</v>
      </c>
      <c r="L16" s="12"/>
      <c r="M16" s="20" t="s">
        <v>936</v>
      </c>
      <c r="N16" s="20" t="s">
        <v>937</v>
      </c>
      <c r="O16" s="20" t="s">
        <v>938</v>
      </c>
      <c r="P16" s="22" t="s">
        <v>939</v>
      </c>
      <c r="Y16" s="11">
        <f>'School listing'!F19</f>
        <v>0</v>
      </c>
    </row>
    <row r="17" spans="1:25" x14ac:dyDescent="0.25">
      <c r="A17" s="696">
        <v>41792</v>
      </c>
      <c r="B17" s="696">
        <v>1601</v>
      </c>
      <c r="C17" s="696">
        <v>612</v>
      </c>
      <c r="D17" s="696">
        <v>1000</v>
      </c>
      <c r="F17" s="700" t="s">
        <v>1250</v>
      </c>
      <c r="G17" s="701">
        <v>-2200</v>
      </c>
      <c r="H17" s="12" t="s">
        <v>997</v>
      </c>
      <c r="I17" s="12" t="s">
        <v>937</v>
      </c>
      <c r="J17" s="12" t="s">
        <v>894</v>
      </c>
      <c r="K17" s="12" t="s">
        <v>963</v>
      </c>
      <c r="L17" s="12"/>
      <c r="M17" s="20" t="s">
        <v>940</v>
      </c>
      <c r="N17" s="20" t="s">
        <v>941</v>
      </c>
      <c r="O17" s="20" t="s">
        <v>942</v>
      </c>
      <c r="P17" s="22" t="s">
        <v>943</v>
      </c>
      <c r="Y17" s="11">
        <f>'School listing'!F20</f>
        <v>0</v>
      </c>
    </row>
    <row r="18" spans="1:25" x14ac:dyDescent="0.25">
      <c r="A18" s="696">
        <v>41792</v>
      </c>
      <c r="B18" s="696">
        <v>1601</v>
      </c>
      <c r="C18" s="696">
        <v>613</v>
      </c>
      <c r="D18" s="696">
        <v>1000</v>
      </c>
      <c r="F18" s="700" t="s">
        <v>1250</v>
      </c>
      <c r="G18" s="701">
        <v>0</v>
      </c>
      <c r="H18" s="12" t="s">
        <v>997</v>
      </c>
      <c r="I18" s="12" t="s">
        <v>937</v>
      </c>
      <c r="J18" s="12" t="s">
        <v>894</v>
      </c>
      <c r="K18" s="12" t="s">
        <v>963</v>
      </c>
      <c r="L18" s="12"/>
      <c r="M18" s="20" t="s">
        <v>944</v>
      </c>
      <c r="N18" s="20" t="s">
        <v>945</v>
      </c>
      <c r="O18" s="20" t="s">
        <v>946</v>
      </c>
      <c r="P18" s="22" t="s">
        <v>947</v>
      </c>
      <c r="Y18" s="11">
        <f>'School listing'!F21</f>
        <v>0</v>
      </c>
    </row>
    <row r="19" spans="1:25" x14ac:dyDescent="0.25">
      <c r="A19" s="696">
        <v>41792</v>
      </c>
      <c r="B19" s="696">
        <v>1601</v>
      </c>
      <c r="C19" s="696">
        <v>615</v>
      </c>
      <c r="D19" s="696">
        <v>0</v>
      </c>
      <c r="F19" s="700" t="s">
        <v>1250</v>
      </c>
      <c r="G19" s="701">
        <v>-400</v>
      </c>
      <c r="H19" s="12" t="s">
        <v>997</v>
      </c>
      <c r="I19" s="12" t="s">
        <v>937</v>
      </c>
      <c r="J19" s="12" t="s">
        <v>21</v>
      </c>
      <c r="K19" s="12" t="s">
        <v>963</v>
      </c>
      <c r="L19" s="12"/>
      <c r="M19" s="20" t="s">
        <v>948</v>
      </c>
      <c r="N19" s="20" t="s">
        <v>949</v>
      </c>
      <c r="O19" s="20" t="s">
        <v>950</v>
      </c>
      <c r="P19" s="22" t="s">
        <v>951</v>
      </c>
      <c r="Y19" s="11">
        <f>'School listing'!F22</f>
        <v>0</v>
      </c>
    </row>
    <row r="20" spans="1:25" x14ac:dyDescent="0.25">
      <c r="A20" s="696">
        <v>41792</v>
      </c>
      <c r="B20" s="696">
        <v>1601</v>
      </c>
      <c r="C20" s="696">
        <v>615</v>
      </c>
      <c r="D20" s="696">
        <v>1000</v>
      </c>
      <c r="F20" s="700" t="s">
        <v>1250</v>
      </c>
      <c r="G20" s="701">
        <v>400</v>
      </c>
      <c r="H20" s="12" t="s">
        <v>997</v>
      </c>
      <c r="I20" s="12" t="s">
        <v>937</v>
      </c>
      <c r="J20" s="12" t="s">
        <v>894</v>
      </c>
      <c r="K20" s="12" t="s">
        <v>963</v>
      </c>
      <c r="L20" s="12"/>
      <c r="M20" s="20" t="s">
        <v>952</v>
      </c>
      <c r="N20" s="20" t="s">
        <v>953</v>
      </c>
      <c r="O20" s="20" t="s">
        <v>954</v>
      </c>
      <c r="P20" s="22" t="s">
        <v>955</v>
      </c>
      <c r="Y20" s="11">
        <f>'School listing'!F23</f>
        <v>0</v>
      </c>
    </row>
    <row r="21" spans="1:25" x14ac:dyDescent="0.25">
      <c r="A21" s="696">
        <v>41792</v>
      </c>
      <c r="B21" s="696">
        <v>1766</v>
      </c>
      <c r="C21" s="696">
        <v>615</v>
      </c>
      <c r="D21" s="696">
        <v>1000</v>
      </c>
      <c r="F21" s="700" t="s">
        <v>1250</v>
      </c>
      <c r="G21" s="701">
        <v>-1020</v>
      </c>
      <c r="H21" s="12" t="s">
        <v>997</v>
      </c>
      <c r="I21" s="12" t="s">
        <v>937</v>
      </c>
      <c r="J21" s="12" t="s">
        <v>894</v>
      </c>
      <c r="K21" s="12" t="s">
        <v>963</v>
      </c>
      <c r="L21" s="12"/>
      <c r="M21" s="20" t="s">
        <v>956</v>
      </c>
      <c r="N21" s="20" t="s">
        <v>957</v>
      </c>
      <c r="O21" s="20" t="s">
        <v>958</v>
      </c>
      <c r="P21" s="22" t="s">
        <v>959</v>
      </c>
      <c r="Y21" s="11">
        <f>'School listing'!F24</f>
        <v>0</v>
      </c>
    </row>
    <row r="22" spans="1:25" x14ac:dyDescent="0.25">
      <c r="A22" s="696">
        <v>41792</v>
      </c>
      <c r="B22" s="696">
        <v>1772</v>
      </c>
      <c r="C22" s="696">
        <v>613</v>
      </c>
      <c r="D22" s="696">
        <v>1000</v>
      </c>
      <c r="F22" s="700" t="s">
        <v>1250</v>
      </c>
      <c r="G22" s="701">
        <v>-1300</v>
      </c>
      <c r="H22" s="12" t="s">
        <v>997</v>
      </c>
      <c r="I22" s="12" t="s">
        <v>937</v>
      </c>
      <c r="J22" s="12" t="s">
        <v>894</v>
      </c>
      <c r="K22" s="12" t="s">
        <v>963</v>
      </c>
      <c r="L22" s="12"/>
      <c r="M22" s="20" t="s">
        <v>960</v>
      </c>
      <c r="N22" s="11"/>
      <c r="P22" s="22" t="s">
        <v>961</v>
      </c>
    </row>
    <row r="23" spans="1:25" x14ac:dyDescent="0.25">
      <c r="A23" s="696">
        <v>41792</v>
      </c>
      <c r="B23" s="696">
        <v>1795</v>
      </c>
      <c r="C23" s="696">
        <v>0</v>
      </c>
      <c r="D23" s="696">
        <v>0</v>
      </c>
      <c r="F23" s="700" t="s">
        <v>1250</v>
      </c>
      <c r="G23" s="701">
        <v>-200</v>
      </c>
      <c r="H23" s="12" t="s">
        <v>997</v>
      </c>
      <c r="I23" s="12" t="s">
        <v>21</v>
      </c>
      <c r="J23" s="12" t="s">
        <v>21</v>
      </c>
      <c r="K23" s="12" t="s">
        <v>963</v>
      </c>
      <c r="L23" s="12"/>
      <c r="M23" s="20" t="s">
        <v>962</v>
      </c>
      <c r="N23" s="11"/>
      <c r="P23" s="22" t="s">
        <v>963</v>
      </c>
    </row>
    <row r="24" spans="1:25" x14ac:dyDescent="0.25">
      <c r="A24" s="696">
        <v>41920</v>
      </c>
      <c r="B24" s="696">
        <v>1000</v>
      </c>
      <c r="C24" s="696">
        <v>0</v>
      </c>
      <c r="D24" s="696">
        <v>0</v>
      </c>
      <c r="F24" s="700" t="s">
        <v>1251</v>
      </c>
      <c r="G24" s="701">
        <v>-13100</v>
      </c>
      <c r="H24" s="12" t="s">
        <v>889</v>
      </c>
      <c r="I24" s="12" t="s">
        <v>21</v>
      </c>
      <c r="J24" s="12" t="s">
        <v>21</v>
      </c>
      <c r="K24" s="12" t="s">
        <v>969</v>
      </c>
      <c r="L24" s="12"/>
      <c r="M24" s="20" t="s">
        <v>964</v>
      </c>
      <c r="N24" s="11"/>
      <c r="O24" s="11"/>
      <c r="P24" s="22" t="s">
        <v>965</v>
      </c>
    </row>
    <row r="25" spans="1:25" x14ac:dyDescent="0.25">
      <c r="A25" s="696">
        <v>41920</v>
      </c>
      <c r="B25" s="696">
        <v>1000</v>
      </c>
      <c r="C25" s="696">
        <v>100</v>
      </c>
      <c r="D25" s="696">
        <v>1000</v>
      </c>
      <c r="F25" s="700" t="s">
        <v>1251</v>
      </c>
      <c r="G25" s="701">
        <v>-14048.95</v>
      </c>
      <c r="H25" s="12" t="s">
        <v>889</v>
      </c>
      <c r="I25" s="12" t="s">
        <v>893</v>
      </c>
      <c r="J25" s="12" t="s">
        <v>894</v>
      </c>
      <c r="K25" s="12" t="s">
        <v>969</v>
      </c>
      <c r="L25" s="12"/>
      <c r="M25" s="20" t="s">
        <v>966</v>
      </c>
      <c r="N25" s="11"/>
      <c r="O25" s="11"/>
      <c r="P25" s="22" t="s">
        <v>967</v>
      </c>
    </row>
    <row r="26" spans="1:25" x14ac:dyDescent="0.25">
      <c r="A26" s="696">
        <v>41922</v>
      </c>
      <c r="B26" s="696">
        <v>1000</v>
      </c>
      <c r="C26" s="696">
        <v>100</v>
      </c>
      <c r="D26" s="696">
        <v>0</v>
      </c>
      <c r="F26" s="700" t="s">
        <v>1252</v>
      </c>
      <c r="G26" s="701">
        <v>0</v>
      </c>
      <c r="H26" s="12" t="s">
        <v>889</v>
      </c>
      <c r="I26" s="12" t="s">
        <v>893</v>
      </c>
      <c r="J26" s="12" t="s">
        <v>21</v>
      </c>
      <c r="K26" s="12" t="s">
        <v>969</v>
      </c>
      <c r="L26" s="12"/>
      <c r="M26" s="20" t="s">
        <v>968</v>
      </c>
      <c r="N26" s="11"/>
      <c r="O26" s="11"/>
      <c r="P26" s="22" t="s">
        <v>969</v>
      </c>
    </row>
    <row r="27" spans="1:25" x14ac:dyDescent="0.25">
      <c r="A27" s="696">
        <v>41922</v>
      </c>
      <c r="B27" s="696">
        <v>1000</v>
      </c>
      <c r="C27" s="696">
        <v>100</v>
      </c>
      <c r="D27" s="696">
        <v>1000</v>
      </c>
      <c r="F27" s="700" t="s">
        <v>1252</v>
      </c>
      <c r="G27" s="701">
        <v>-56222.52</v>
      </c>
      <c r="H27" s="12" t="s">
        <v>889</v>
      </c>
      <c r="I27" s="12" t="s">
        <v>893</v>
      </c>
      <c r="J27" s="12" t="s">
        <v>894</v>
      </c>
      <c r="K27" s="12" t="s">
        <v>969</v>
      </c>
      <c r="L27" s="12"/>
      <c r="M27" s="20" t="s">
        <v>970</v>
      </c>
      <c r="N27" s="11"/>
      <c r="O27" s="11"/>
      <c r="P27" s="22" t="s">
        <v>971</v>
      </c>
    </row>
    <row r="28" spans="1:25" x14ac:dyDescent="0.25">
      <c r="A28" s="696">
        <v>41922</v>
      </c>
      <c r="B28" s="696">
        <v>1531</v>
      </c>
      <c r="C28" s="696">
        <v>100</v>
      </c>
      <c r="D28" s="696">
        <v>0</v>
      </c>
      <c r="F28" s="700" t="s">
        <v>1252</v>
      </c>
      <c r="G28" s="701">
        <v>-618503.78</v>
      </c>
      <c r="H28" s="12" t="s">
        <v>997</v>
      </c>
      <c r="I28" s="12" t="s">
        <v>893</v>
      </c>
      <c r="J28" s="12" t="s">
        <v>21</v>
      </c>
      <c r="K28" s="12" t="s">
        <v>969</v>
      </c>
      <c r="L28" s="12"/>
      <c r="M28" s="20" t="s">
        <v>972</v>
      </c>
      <c r="N28" s="11"/>
      <c r="O28" s="11"/>
      <c r="P28" s="22" t="s">
        <v>973</v>
      </c>
    </row>
    <row r="29" spans="1:25" x14ac:dyDescent="0.25">
      <c r="A29" s="696">
        <v>41922</v>
      </c>
      <c r="B29" s="696">
        <v>1531</v>
      </c>
      <c r="C29" s="696">
        <v>100</v>
      </c>
      <c r="D29" s="696">
        <v>1000</v>
      </c>
      <c r="F29" s="700" t="s">
        <v>1252</v>
      </c>
      <c r="G29" s="701">
        <v>-50000</v>
      </c>
      <c r="H29" s="12" t="s">
        <v>997</v>
      </c>
      <c r="I29" s="12" t="s">
        <v>893</v>
      </c>
      <c r="J29" s="12" t="s">
        <v>894</v>
      </c>
      <c r="K29" s="12" t="s">
        <v>969</v>
      </c>
      <c r="L29" s="12"/>
      <c r="M29" s="20" t="s">
        <v>974</v>
      </c>
      <c r="N29" s="11"/>
      <c r="O29" s="11"/>
      <c r="P29" s="22" t="s">
        <v>975</v>
      </c>
    </row>
    <row r="30" spans="1:25" x14ac:dyDescent="0.25">
      <c r="A30" s="696">
        <v>41922</v>
      </c>
      <c r="B30" s="696">
        <v>1532</v>
      </c>
      <c r="C30" s="696">
        <v>100</v>
      </c>
      <c r="D30" s="696">
        <v>0</v>
      </c>
      <c r="F30" s="700" t="s">
        <v>1252</v>
      </c>
      <c r="G30" s="701">
        <v>-169640.81</v>
      </c>
      <c r="H30" s="12" t="s">
        <v>997</v>
      </c>
      <c r="I30" s="12" t="s">
        <v>893</v>
      </c>
      <c r="J30" s="12" t="s">
        <v>21</v>
      </c>
      <c r="K30" s="12" t="s">
        <v>969</v>
      </c>
      <c r="L30" s="12"/>
      <c r="M30" s="20" t="s">
        <v>976</v>
      </c>
      <c r="N30" s="11"/>
      <c r="O30" s="11"/>
      <c r="P30" s="22" t="s">
        <v>977</v>
      </c>
    </row>
    <row r="31" spans="1:25" x14ac:dyDescent="0.25">
      <c r="A31" s="696">
        <v>41922</v>
      </c>
      <c r="B31" s="696">
        <v>1534</v>
      </c>
      <c r="C31" s="696">
        <v>100</v>
      </c>
      <c r="D31" s="696">
        <v>0</v>
      </c>
      <c r="F31" s="700" t="s">
        <v>1252</v>
      </c>
      <c r="G31" s="701">
        <v>0</v>
      </c>
      <c r="H31" s="12" t="s">
        <v>997</v>
      </c>
      <c r="I31" s="12" t="s">
        <v>893</v>
      </c>
      <c r="J31" s="12" t="s">
        <v>21</v>
      </c>
      <c r="K31" s="12" t="s">
        <v>969</v>
      </c>
      <c r="L31" s="12"/>
      <c r="M31" s="20" t="s">
        <v>978</v>
      </c>
      <c r="N31" s="11"/>
      <c r="O31" s="11"/>
      <c r="P31" s="22" t="s">
        <v>979</v>
      </c>
    </row>
    <row r="32" spans="1:25" x14ac:dyDescent="0.25">
      <c r="A32" s="696">
        <v>41922</v>
      </c>
      <c r="B32" s="696">
        <v>1534</v>
      </c>
      <c r="C32" s="696">
        <v>100</v>
      </c>
      <c r="D32" s="696">
        <v>1000</v>
      </c>
      <c r="F32" s="700" t="s">
        <v>1252</v>
      </c>
      <c r="G32" s="701">
        <v>-20188.14</v>
      </c>
      <c r="H32" s="12" t="s">
        <v>997</v>
      </c>
      <c r="I32" s="12" t="s">
        <v>893</v>
      </c>
      <c r="J32" s="12" t="s">
        <v>894</v>
      </c>
      <c r="K32" s="12" t="s">
        <v>969</v>
      </c>
      <c r="L32" s="12"/>
      <c r="M32" s="20" t="s">
        <v>980</v>
      </c>
      <c r="N32" s="11"/>
      <c r="O32" s="11"/>
      <c r="P32" s="22" t="s">
        <v>981</v>
      </c>
    </row>
    <row r="33" spans="1:16" x14ac:dyDescent="0.25">
      <c r="A33" s="696">
        <v>41922</v>
      </c>
      <c r="B33" s="696">
        <v>1536</v>
      </c>
      <c r="C33" s="696">
        <v>100</v>
      </c>
      <c r="D33" s="696">
        <v>0</v>
      </c>
      <c r="F33" s="700" t="s">
        <v>1252</v>
      </c>
      <c r="G33" s="701">
        <v>-123582.53</v>
      </c>
      <c r="H33" s="12" t="s">
        <v>997</v>
      </c>
      <c r="I33" s="12" t="s">
        <v>893</v>
      </c>
      <c r="J33" s="12" t="s">
        <v>21</v>
      </c>
      <c r="K33" s="12" t="s">
        <v>969</v>
      </c>
      <c r="L33" s="12"/>
      <c r="M33" s="20" t="s">
        <v>982</v>
      </c>
      <c r="N33" s="11"/>
      <c r="O33" s="11"/>
      <c r="P33" s="22" t="s">
        <v>983</v>
      </c>
    </row>
    <row r="34" spans="1:16" x14ac:dyDescent="0.25">
      <c r="A34" s="696">
        <v>41922</v>
      </c>
      <c r="B34" s="696">
        <v>1536</v>
      </c>
      <c r="C34" s="696">
        <v>100</v>
      </c>
      <c r="D34" s="696">
        <v>1000</v>
      </c>
      <c r="F34" s="700" t="s">
        <v>1252</v>
      </c>
      <c r="G34" s="701">
        <v>23082.53</v>
      </c>
      <c r="H34" s="12" t="s">
        <v>997</v>
      </c>
      <c r="I34" s="12" t="s">
        <v>893</v>
      </c>
      <c r="J34" s="12" t="s">
        <v>894</v>
      </c>
      <c r="K34" s="12" t="s">
        <v>969</v>
      </c>
      <c r="L34" s="12"/>
      <c r="M34" s="20" t="s">
        <v>984</v>
      </c>
      <c r="N34" s="11"/>
      <c r="O34" s="11"/>
      <c r="P34" s="22" t="s">
        <v>985</v>
      </c>
    </row>
    <row r="35" spans="1:16" x14ac:dyDescent="0.25">
      <c r="A35" s="696">
        <v>41922</v>
      </c>
      <c r="B35" s="696">
        <v>1599</v>
      </c>
      <c r="C35" s="696">
        <v>0</v>
      </c>
      <c r="D35" s="696">
        <v>0</v>
      </c>
      <c r="F35" s="700" t="s">
        <v>1252</v>
      </c>
      <c r="G35" s="701">
        <v>5270</v>
      </c>
      <c r="H35" s="12" t="s">
        <v>997</v>
      </c>
      <c r="I35" s="12" t="s">
        <v>21</v>
      </c>
      <c r="J35" s="12" t="s">
        <v>21</v>
      </c>
      <c r="K35" s="12" t="s">
        <v>969</v>
      </c>
      <c r="L35" s="12"/>
      <c r="M35" s="20" t="s">
        <v>986</v>
      </c>
      <c r="N35" s="11"/>
      <c r="O35" s="11"/>
      <c r="P35" s="22" t="s">
        <v>987</v>
      </c>
    </row>
    <row r="36" spans="1:16" x14ac:dyDescent="0.25">
      <c r="A36" s="696">
        <v>41922</v>
      </c>
      <c r="B36" s="696">
        <v>1910</v>
      </c>
      <c r="C36" s="696">
        <v>100</v>
      </c>
      <c r="D36" s="696">
        <v>0</v>
      </c>
      <c r="F36" s="700" t="s">
        <v>1252</v>
      </c>
      <c r="G36" s="701">
        <v>-41.04</v>
      </c>
      <c r="H36" s="12" t="s">
        <v>997</v>
      </c>
      <c r="I36" s="12" t="s">
        <v>893</v>
      </c>
      <c r="J36" s="12" t="s">
        <v>21</v>
      </c>
      <c r="K36" s="12" t="s">
        <v>969</v>
      </c>
      <c r="L36" s="12"/>
      <c r="M36" s="20" t="s">
        <v>989</v>
      </c>
      <c r="N36" s="11"/>
      <c r="O36" s="11"/>
      <c r="P36" s="22" t="s">
        <v>988</v>
      </c>
    </row>
    <row r="37" spans="1:16" x14ac:dyDescent="0.25">
      <c r="A37" s="696">
        <v>41922</v>
      </c>
      <c r="B37" s="696">
        <v>1914</v>
      </c>
      <c r="C37" s="696">
        <v>100</v>
      </c>
      <c r="D37" s="696">
        <v>1000</v>
      </c>
      <c r="F37" s="700" t="s">
        <v>1252</v>
      </c>
      <c r="G37" s="701">
        <v>-500</v>
      </c>
      <c r="H37" s="12" t="s">
        <v>997</v>
      </c>
      <c r="I37" s="12" t="s">
        <v>893</v>
      </c>
      <c r="J37" s="12" t="s">
        <v>894</v>
      </c>
      <c r="K37" s="12" t="s">
        <v>969</v>
      </c>
      <c r="L37" s="12"/>
      <c r="M37" s="20" t="s">
        <v>991</v>
      </c>
      <c r="N37" s="11"/>
      <c r="O37" s="11"/>
      <c r="P37" s="22" t="s">
        <v>990</v>
      </c>
    </row>
    <row r="38" spans="1:16" x14ac:dyDescent="0.25">
      <c r="A38" s="696">
        <v>41940</v>
      </c>
      <c r="B38" s="696">
        <v>1000</v>
      </c>
      <c r="C38" s="696">
        <v>100</v>
      </c>
      <c r="D38" s="696">
        <v>1000</v>
      </c>
      <c r="F38" s="700" t="s">
        <v>1253</v>
      </c>
      <c r="G38" s="701">
        <v>-196040</v>
      </c>
      <c r="H38" s="12" t="s">
        <v>889</v>
      </c>
      <c r="I38" s="12" t="s">
        <v>893</v>
      </c>
      <c r="J38" s="12" t="s">
        <v>894</v>
      </c>
      <c r="K38" s="12" t="s">
        <v>969</v>
      </c>
      <c r="L38" s="12"/>
      <c r="M38" s="20" t="s">
        <v>993</v>
      </c>
      <c r="N38" s="11"/>
      <c r="O38" s="11"/>
      <c r="P38" s="22" t="s">
        <v>992</v>
      </c>
    </row>
    <row r="39" spans="1:16" x14ac:dyDescent="0.25">
      <c r="A39" s="696">
        <v>41949</v>
      </c>
      <c r="B39" s="696">
        <v>1000</v>
      </c>
      <c r="C39" s="696">
        <v>100</v>
      </c>
      <c r="D39" s="696">
        <v>0</v>
      </c>
      <c r="F39" s="700" t="s">
        <v>1254</v>
      </c>
      <c r="G39" s="701">
        <v>0</v>
      </c>
      <c r="H39" s="12" t="s">
        <v>889</v>
      </c>
      <c r="I39" s="12" t="s">
        <v>893</v>
      </c>
      <c r="J39" s="12" t="s">
        <v>21</v>
      </c>
      <c r="K39" s="12" t="s">
        <v>969</v>
      </c>
      <c r="L39" s="12"/>
      <c r="M39" s="20" t="s">
        <v>995</v>
      </c>
      <c r="N39" s="11"/>
      <c r="O39" s="11"/>
      <c r="P39" s="22" t="s">
        <v>994</v>
      </c>
    </row>
    <row r="40" spans="1:16" x14ac:dyDescent="0.25">
      <c r="A40" s="696">
        <v>41949</v>
      </c>
      <c r="B40" s="696">
        <v>1000</v>
      </c>
      <c r="C40" s="696">
        <v>100</v>
      </c>
      <c r="D40" s="696">
        <v>1000</v>
      </c>
      <c r="F40" s="700" t="s">
        <v>1254</v>
      </c>
      <c r="G40" s="701">
        <v>-28560.65</v>
      </c>
      <c r="H40" s="12" t="s">
        <v>889</v>
      </c>
      <c r="I40" s="12" t="s">
        <v>893</v>
      </c>
      <c r="J40" s="12" t="s">
        <v>894</v>
      </c>
      <c r="K40" s="12" t="s">
        <v>969</v>
      </c>
      <c r="L40" s="12"/>
      <c r="M40" s="20" t="s">
        <v>997</v>
      </c>
      <c r="N40" s="11"/>
      <c r="O40" s="11"/>
      <c r="P40" s="22" t="s">
        <v>996</v>
      </c>
    </row>
    <row r="41" spans="1:16" x14ac:dyDescent="0.25">
      <c r="A41" s="696">
        <v>41971</v>
      </c>
      <c r="B41" s="696">
        <v>1000</v>
      </c>
      <c r="C41" s="696">
        <v>100</v>
      </c>
      <c r="D41" s="696">
        <v>1000</v>
      </c>
      <c r="F41" s="700" t="s">
        <v>1255</v>
      </c>
      <c r="G41" s="701">
        <v>-110.44</v>
      </c>
      <c r="H41" s="12" t="s">
        <v>889</v>
      </c>
      <c r="I41" s="12" t="s">
        <v>893</v>
      </c>
      <c r="J41" s="12" t="s">
        <v>894</v>
      </c>
      <c r="K41" s="12" t="s">
        <v>969</v>
      </c>
      <c r="L41" s="12"/>
      <c r="M41" s="20" t="s">
        <v>999</v>
      </c>
      <c r="N41" s="11"/>
      <c r="O41" s="11"/>
      <c r="P41" s="22" t="s">
        <v>998</v>
      </c>
    </row>
    <row r="42" spans="1:16" x14ac:dyDescent="0.25">
      <c r="A42" s="696">
        <v>41971</v>
      </c>
      <c r="B42" s="696">
        <v>1540</v>
      </c>
      <c r="C42" s="696">
        <v>100</v>
      </c>
      <c r="D42" s="696">
        <v>1000</v>
      </c>
      <c r="F42" s="700" t="s">
        <v>1255</v>
      </c>
      <c r="G42" s="701">
        <v>-75000</v>
      </c>
      <c r="H42" s="12" t="s">
        <v>997</v>
      </c>
      <c r="I42" s="12" t="s">
        <v>893</v>
      </c>
      <c r="J42" s="12" t="s">
        <v>894</v>
      </c>
      <c r="K42" s="12" t="s">
        <v>969</v>
      </c>
      <c r="L42" s="12"/>
      <c r="N42" s="11"/>
      <c r="O42" s="11"/>
    </row>
    <row r="43" spans="1:16" x14ac:dyDescent="0.25">
      <c r="A43" s="696">
        <v>41973</v>
      </c>
      <c r="B43" s="696">
        <v>1599</v>
      </c>
      <c r="C43" s="696">
        <v>0</v>
      </c>
      <c r="D43" s="696">
        <v>0</v>
      </c>
      <c r="F43" s="700" t="s">
        <v>1256</v>
      </c>
      <c r="G43" s="701">
        <v>-28466.67</v>
      </c>
      <c r="H43" s="12" t="s">
        <v>997</v>
      </c>
      <c r="I43" s="12" t="s">
        <v>21</v>
      </c>
      <c r="J43" s="12" t="s">
        <v>21</v>
      </c>
      <c r="K43" s="12" t="s">
        <v>969</v>
      </c>
      <c r="L43" s="12"/>
      <c r="M43" s="11"/>
      <c r="N43" s="11"/>
      <c r="O43" s="11"/>
    </row>
    <row r="44" spans="1:16" x14ac:dyDescent="0.25">
      <c r="A44" s="696">
        <v>41980</v>
      </c>
      <c r="B44" s="696">
        <v>1000</v>
      </c>
      <c r="C44" s="696">
        <v>100</v>
      </c>
      <c r="D44" s="696">
        <v>1000</v>
      </c>
      <c r="F44" s="700" t="s">
        <v>1257</v>
      </c>
      <c r="G44" s="701">
        <v>-28905.919999999998</v>
      </c>
      <c r="H44" s="12" t="s">
        <v>889</v>
      </c>
      <c r="I44" s="12" t="s">
        <v>893</v>
      </c>
      <c r="J44" s="12" t="s">
        <v>894</v>
      </c>
      <c r="K44" s="12" t="s">
        <v>969</v>
      </c>
      <c r="L44" s="12"/>
      <c r="M44" s="11"/>
      <c r="N44" s="11"/>
      <c r="O44" s="11"/>
    </row>
    <row r="45" spans="1:16" x14ac:dyDescent="0.25">
      <c r="A45" s="696">
        <v>41990</v>
      </c>
      <c r="B45" s="696">
        <v>1000</v>
      </c>
      <c r="C45" s="696">
        <v>100</v>
      </c>
      <c r="D45" s="696">
        <v>0</v>
      </c>
      <c r="F45" s="700" t="s">
        <v>365</v>
      </c>
      <c r="G45" s="701">
        <v>0.01</v>
      </c>
      <c r="H45" s="12" t="s">
        <v>889</v>
      </c>
      <c r="I45" s="12" t="s">
        <v>893</v>
      </c>
      <c r="J45" s="12" t="s">
        <v>21</v>
      </c>
      <c r="K45" s="12" t="s">
        <v>969</v>
      </c>
      <c r="L45" s="12"/>
      <c r="M45" s="11"/>
      <c r="N45" s="11"/>
      <c r="O45" s="11"/>
      <c r="P45" s="11"/>
    </row>
    <row r="46" spans="1:16" x14ac:dyDescent="0.25">
      <c r="A46" s="696">
        <v>41990</v>
      </c>
      <c r="B46" s="696">
        <v>1000</v>
      </c>
      <c r="C46" s="696">
        <v>100</v>
      </c>
      <c r="D46" s="696">
        <v>1000</v>
      </c>
      <c r="F46" s="700" t="s">
        <v>365</v>
      </c>
      <c r="G46" s="701">
        <v>-153125.01</v>
      </c>
      <c r="H46" s="12" t="s">
        <v>889</v>
      </c>
      <c r="I46" s="12" t="s">
        <v>893</v>
      </c>
      <c r="J46" s="12" t="s">
        <v>894</v>
      </c>
      <c r="K46" s="12" t="s">
        <v>969</v>
      </c>
      <c r="L46" s="12"/>
      <c r="M46" s="11"/>
      <c r="N46" s="11"/>
      <c r="O46" s="11"/>
      <c r="P46" s="11"/>
    </row>
    <row r="47" spans="1:16" x14ac:dyDescent="0.25">
      <c r="A47" s="696">
        <v>41990</v>
      </c>
      <c r="B47" s="696">
        <v>1865</v>
      </c>
      <c r="C47" s="696">
        <v>100</v>
      </c>
      <c r="D47" s="696">
        <v>2500</v>
      </c>
      <c r="F47" s="700" t="s">
        <v>365</v>
      </c>
      <c r="G47" s="701">
        <v>7516.22</v>
      </c>
      <c r="H47" s="12" t="s">
        <v>997</v>
      </c>
      <c r="I47" s="12" t="s">
        <v>893</v>
      </c>
      <c r="J47" s="12" t="s">
        <v>926</v>
      </c>
      <c r="K47" s="12" t="s">
        <v>969</v>
      </c>
      <c r="L47" s="12"/>
      <c r="M47" s="11"/>
      <c r="N47" s="11"/>
      <c r="O47" s="11"/>
      <c r="P47" s="11"/>
    </row>
    <row r="48" spans="1:16" x14ac:dyDescent="0.25">
      <c r="A48" s="696">
        <v>41990</v>
      </c>
      <c r="B48" s="696">
        <v>1910</v>
      </c>
      <c r="C48" s="696">
        <v>0</v>
      </c>
      <c r="D48" s="696">
        <v>0</v>
      </c>
      <c r="F48" s="700" t="s">
        <v>365</v>
      </c>
      <c r="G48" s="701">
        <v>-94.67</v>
      </c>
      <c r="H48" s="12" t="s">
        <v>997</v>
      </c>
      <c r="I48" s="12" t="s">
        <v>21</v>
      </c>
      <c r="J48" s="12" t="s">
        <v>21</v>
      </c>
      <c r="K48" s="12" t="s">
        <v>969</v>
      </c>
      <c r="L48" s="12"/>
      <c r="M48" s="11"/>
      <c r="N48" s="11"/>
      <c r="O48" s="11"/>
      <c r="P48" s="11"/>
    </row>
    <row r="49" spans="1:16" x14ac:dyDescent="0.25">
      <c r="A49" s="696">
        <v>43110</v>
      </c>
      <c r="B49" s="696">
        <v>1000</v>
      </c>
      <c r="C49" s="696">
        <v>100</v>
      </c>
      <c r="D49" s="696">
        <v>0</v>
      </c>
      <c r="F49" s="700" t="s">
        <v>1258</v>
      </c>
      <c r="G49" s="701">
        <v>-23527321.84</v>
      </c>
      <c r="H49" s="12" t="s">
        <v>889</v>
      </c>
      <c r="I49" s="12" t="s">
        <v>893</v>
      </c>
      <c r="J49" s="12" t="s">
        <v>21</v>
      </c>
      <c r="K49" s="12" t="s">
        <v>979</v>
      </c>
      <c r="L49" s="12"/>
      <c r="M49" s="11"/>
      <c r="N49" s="11"/>
      <c r="O49" s="11"/>
      <c r="P49" s="11"/>
    </row>
    <row r="50" spans="1:16" x14ac:dyDescent="0.25">
      <c r="A50" s="696">
        <v>43110</v>
      </c>
      <c r="B50" s="696">
        <v>1000</v>
      </c>
      <c r="C50" s="696">
        <v>100</v>
      </c>
      <c r="D50" s="696">
        <v>1000</v>
      </c>
      <c r="F50" s="700" t="s">
        <v>1258</v>
      </c>
      <c r="G50" s="701">
        <v>-8170595.1900000004</v>
      </c>
      <c r="H50" s="12" t="s">
        <v>889</v>
      </c>
      <c r="I50" s="12" t="s">
        <v>893</v>
      </c>
      <c r="J50" s="12" t="s">
        <v>894</v>
      </c>
      <c r="K50" s="12" t="s">
        <v>979</v>
      </c>
      <c r="L50" s="12"/>
      <c r="M50" s="11"/>
      <c r="N50" s="11"/>
      <c r="O50" s="11"/>
      <c r="P50" s="11"/>
    </row>
    <row r="51" spans="1:16" x14ac:dyDescent="0.25">
      <c r="A51" s="696">
        <v>43110</v>
      </c>
      <c r="B51" s="696">
        <v>1000</v>
      </c>
      <c r="C51" s="696">
        <v>550</v>
      </c>
      <c r="D51" s="696">
        <v>0</v>
      </c>
      <c r="F51" s="700" t="s">
        <v>1258</v>
      </c>
      <c r="G51" s="701">
        <v>-78072</v>
      </c>
      <c r="H51" s="12" t="s">
        <v>889</v>
      </c>
      <c r="I51" s="12" t="s">
        <v>933</v>
      </c>
      <c r="J51" s="12" t="s">
        <v>21</v>
      </c>
      <c r="K51" s="12" t="s">
        <v>979</v>
      </c>
      <c r="L51" s="12"/>
      <c r="M51" s="11"/>
      <c r="N51" s="11"/>
      <c r="O51" s="11"/>
      <c r="P51" s="11"/>
    </row>
    <row r="52" spans="1:16" x14ac:dyDescent="0.25">
      <c r="A52" s="696">
        <v>43110</v>
      </c>
      <c r="B52" s="696">
        <v>1710</v>
      </c>
      <c r="C52" s="696">
        <v>100</v>
      </c>
      <c r="D52" s="696">
        <v>1000</v>
      </c>
      <c r="F52" s="700" t="s">
        <v>1258</v>
      </c>
      <c r="G52" s="701">
        <v>-390.35</v>
      </c>
      <c r="H52" s="12" t="s">
        <v>997</v>
      </c>
      <c r="I52" s="12" t="s">
        <v>893</v>
      </c>
      <c r="J52" s="12" t="s">
        <v>894</v>
      </c>
      <c r="K52" s="12" t="s">
        <v>979</v>
      </c>
      <c r="L52" s="12"/>
      <c r="M52" s="11"/>
      <c r="N52" s="11"/>
      <c r="O52" s="11"/>
      <c r="P52" s="11"/>
    </row>
    <row r="53" spans="1:16" x14ac:dyDescent="0.25">
      <c r="A53" s="696">
        <v>43110</v>
      </c>
      <c r="B53" s="696">
        <v>1756</v>
      </c>
      <c r="C53" s="696">
        <v>100</v>
      </c>
      <c r="D53" s="696">
        <v>1000</v>
      </c>
      <c r="F53" s="700" t="s">
        <v>1258</v>
      </c>
      <c r="G53" s="701">
        <v>-691.06</v>
      </c>
      <c r="H53" s="12" t="s">
        <v>997</v>
      </c>
      <c r="I53" s="12" t="s">
        <v>893</v>
      </c>
      <c r="J53" s="12" t="s">
        <v>894</v>
      </c>
      <c r="K53" s="12" t="s">
        <v>979</v>
      </c>
      <c r="L53" s="12"/>
      <c r="M53" s="11"/>
      <c r="N53" s="11"/>
      <c r="O53" s="11"/>
      <c r="P53" s="11"/>
    </row>
    <row r="54" spans="1:16" x14ac:dyDescent="0.25">
      <c r="A54" s="696">
        <v>43110</v>
      </c>
      <c r="B54" s="696">
        <v>1766</v>
      </c>
      <c r="C54" s="696">
        <v>100</v>
      </c>
      <c r="D54" s="696">
        <v>1000</v>
      </c>
      <c r="F54" s="700" t="s">
        <v>1258</v>
      </c>
      <c r="G54" s="701">
        <v>-1833.4</v>
      </c>
      <c r="H54" s="12" t="s">
        <v>997</v>
      </c>
      <c r="I54" s="12" t="s">
        <v>893</v>
      </c>
      <c r="J54" s="12" t="s">
        <v>894</v>
      </c>
      <c r="K54" s="12" t="s">
        <v>979</v>
      </c>
      <c r="L54" s="12"/>
      <c r="M54" s="11"/>
      <c r="N54" s="11"/>
      <c r="O54" s="11"/>
      <c r="P54" s="11"/>
    </row>
    <row r="55" spans="1:16" x14ac:dyDescent="0.25">
      <c r="A55" s="696">
        <v>43110</v>
      </c>
      <c r="B55" s="696">
        <v>1769</v>
      </c>
      <c r="C55" s="696">
        <v>100</v>
      </c>
      <c r="D55" s="696">
        <v>1000</v>
      </c>
      <c r="F55" s="700" t="s">
        <v>1258</v>
      </c>
      <c r="G55" s="701">
        <v>-1282.75</v>
      </c>
      <c r="H55" s="12" t="s">
        <v>997</v>
      </c>
      <c r="I55" s="12" t="s">
        <v>893</v>
      </c>
      <c r="J55" s="12" t="s">
        <v>894</v>
      </c>
      <c r="K55" s="12" t="s">
        <v>979</v>
      </c>
      <c r="L55" s="12"/>
      <c r="M55" s="11"/>
      <c r="N55" s="11"/>
      <c r="O55" s="11"/>
      <c r="P55" s="11"/>
    </row>
    <row r="56" spans="1:16" x14ac:dyDescent="0.25">
      <c r="A56" s="696">
        <v>43110</v>
      </c>
      <c r="B56" s="696">
        <v>1772</v>
      </c>
      <c r="C56" s="696">
        <v>100</v>
      </c>
      <c r="D56" s="696">
        <v>1000</v>
      </c>
      <c r="F56" s="700" t="s">
        <v>1258</v>
      </c>
      <c r="G56" s="701">
        <v>-2498.64</v>
      </c>
      <c r="H56" s="12" t="s">
        <v>997</v>
      </c>
      <c r="I56" s="12" t="s">
        <v>893</v>
      </c>
      <c r="J56" s="12" t="s">
        <v>894</v>
      </c>
      <c r="K56" s="12" t="s">
        <v>979</v>
      </c>
      <c r="L56" s="12"/>
      <c r="M56" s="11"/>
      <c r="N56" s="11"/>
      <c r="O56" s="11"/>
      <c r="P56" s="11"/>
    </row>
    <row r="57" spans="1:16" x14ac:dyDescent="0.25">
      <c r="A57" s="696">
        <v>43110</v>
      </c>
      <c r="B57" s="696">
        <v>1774</v>
      </c>
      <c r="C57" s="696">
        <v>100</v>
      </c>
      <c r="D57" s="696">
        <v>1000</v>
      </c>
      <c r="F57" s="700" t="s">
        <v>1258</v>
      </c>
      <c r="G57" s="701">
        <v>-4903.8999999999996</v>
      </c>
      <c r="H57" s="12" t="s">
        <v>997</v>
      </c>
      <c r="I57" s="12" t="s">
        <v>893</v>
      </c>
      <c r="J57" s="12" t="s">
        <v>894</v>
      </c>
      <c r="K57" s="12" t="s">
        <v>979</v>
      </c>
      <c r="L57" s="12"/>
      <c r="M57" s="11"/>
      <c r="N57" s="11"/>
      <c r="O57" s="11"/>
      <c r="P57" s="11"/>
    </row>
    <row r="58" spans="1:16" x14ac:dyDescent="0.25">
      <c r="A58" s="696">
        <v>43110</v>
      </c>
      <c r="B58" s="696">
        <v>1782</v>
      </c>
      <c r="C58" s="696">
        <v>100</v>
      </c>
      <c r="D58" s="696">
        <v>1000</v>
      </c>
      <c r="F58" s="700" t="s">
        <v>1258</v>
      </c>
      <c r="G58" s="701">
        <v>-2426.29</v>
      </c>
      <c r="H58" s="12" t="s">
        <v>997</v>
      </c>
      <c r="I58" s="12" t="s">
        <v>893</v>
      </c>
      <c r="J58" s="12" t="s">
        <v>894</v>
      </c>
      <c r="K58" s="12" t="s">
        <v>979</v>
      </c>
      <c r="L58" s="12"/>
      <c r="M58" s="11"/>
      <c r="N58" s="11"/>
      <c r="O58" s="11"/>
      <c r="P58" s="11"/>
    </row>
    <row r="59" spans="1:16" x14ac:dyDescent="0.25">
      <c r="A59" s="696">
        <v>43110</v>
      </c>
      <c r="B59" s="696">
        <v>1784</v>
      </c>
      <c r="C59" s="696">
        <v>100</v>
      </c>
      <c r="D59" s="696">
        <v>1000</v>
      </c>
      <c r="F59" s="700" t="s">
        <v>1258</v>
      </c>
      <c r="G59" s="701">
        <v>-1230.29</v>
      </c>
      <c r="H59" s="12" t="s">
        <v>997</v>
      </c>
      <c r="I59" s="12" t="s">
        <v>893</v>
      </c>
      <c r="J59" s="12" t="s">
        <v>894</v>
      </c>
      <c r="K59" s="12" t="s">
        <v>979</v>
      </c>
      <c r="L59" s="12"/>
      <c r="M59" s="11"/>
      <c r="N59" s="11"/>
      <c r="O59" s="11"/>
      <c r="P59" s="11"/>
    </row>
    <row r="60" spans="1:16" x14ac:dyDescent="0.25">
      <c r="A60" s="696">
        <v>43110</v>
      </c>
      <c r="B60" s="696">
        <v>1785</v>
      </c>
      <c r="C60" s="696">
        <v>100</v>
      </c>
      <c r="D60" s="696">
        <v>1000</v>
      </c>
      <c r="F60" s="700" t="s">
        <v>1258</v>
      </c>
      <c r="G60" s="701">
        <v>-2496.3200000000002</v>
      </c>
      <c r="H60" s="12" t="s">
        <v>997</v>
      </c>
      <c r="I60" s="12" t="s">
        <v>893</v>
      </c>
      <c r="J60" s="12" t="s">
        <v>894</v>
      </c>
      <c r="K60" s="12" t="s">
        <v>979</v>
      </c>
      <c r="L60" s="12"/>
      <c r="M60" s="11"/>
      <c r="N60" s="11"/>
      <c r="O60" s="11"/>
      <c r="P60" s="11"/>
    </row>
    <row r="61" spans="1:16" x14ac:dyDescent="0.25">
      <c r="A61" s="696">
        <v>43110</v>
      </c>
      <c r="B61" s="696">
        <v>1788</v>
      </c>
      <c r="C61" s="696">
        <v>100</v>
      </c>
      <c r="D61" s="696">
        <v>1000</v>
      </c>
      <c r="F61" s="700" t="s">
        <v>1258</v>
      </c>
      <c r="G61" s="701">
        <v>-1199.4000000000001</v>
      </c>
      <c r="H61" s="12" t="s">
        <v>997</v>
      </c>
      <c r="I61" s="12" t="s">
        <v>893</v>
      </c>
      <c r="J61" s="12" t="s">
        <v>894</v>
      </c>
      <c r="K61" s="12" t="s">
        <v>979</v>
      </c>
      <c r="L61" s="12"/>
      <c r="M61" s="11"/>
      <c r="N61" s="11"/>
      <c r="O61" s="11"/>
      <c r="P61" s="11"/>
    </row>
    <row r="62" spans="1:16" x14ac:dyDescent="0.25">
      <c r="A62" s="696">
        <v>43110</v>
      </c>
      <c r="B62" s="696">
        <v>1795</v>
      </c>
      <c r="C62" s="696">
        <v>100</v>
      </c>
      <c r="D62" s="696">
        <v>1000</v>
      </c>
      <c r="F62" s="700" t="s">
        <v>1258</v>
      </c>
      <c r="G62" s="701">
        <v>-739.79</v>
      </c>
      <c r="H62" s="12" t="s">
        <v>997</v>
      </c>
      <c r="I62" s="12" t="s">
        <v>893</v>
      </c>
      <c r="J62" s="12" t="s">
        <v>894</v>
      </c>
      <c r="K62" s="12" t="s">
        <v>979</v>
      </c>
      <c r="L62" s="12"/>
      <c r="M62" s="11"/>
      <c r="N62" s="11"/>
      <c r="O62" s="11"/>
      <c r="P62" s="11"/>
    </row>
    <row r="63" spans="1:16" x14ac:dyDescent="0.25">
      <c r="A63" s="696">
        <v>43110</v>
      </c>
      <c r="B63" s="696">
        <v>1798</v>
      </c>
      <c r="C63" s="696">
        <v>100</v>
      </c>
      <c r="D63" s="696">
        <v>1000</v>
      </c>
      <c r="F63" s="700" t="s">
        <v>1258</v>
      </c>
      <c r="G63" s="701">
        <v>-1080.51</v>
      </c>
      <c r="H63" s="12" t="s">
        <v>997</v>
      </c>
      <c r="I63" s="12" t="s">
        <v>893</v>
      </c>
      <c r="J63" s="12" t="s">
        <v>894</v>
      </c>
      <c r="K63" s="12" t="s">
        <v>979</v>
      </c>
      <c r="L63" s="12"/>
      <c r="M63" s="11"/>
      <c r="N63" s="11"/>
      <c r="O63" s="11"/>
      <c r="P63" s="11"/>
    </row>
    <row r="64" spans="1:16" x14ac:dyDescent="0.25">
      <c r="A64" s="696">
        <v>43110</v>
      </c>
      <c r="B64" s="696">
        <v>1801</v>
      </c>
      <c r="C64" s="696">
        <v>100</v>
      </c>
      <c r="D64" s="696">
        <v>1000</v>
      </c>
      <c r="F64" s="700" t="s">
        <v>1258</v>
      </c>
      <c r="G64" s="701">
        <v>-2282.04</v>
      </c>
      <c r="H64" s="12" t="s">
        <v>997</v>
      </c>
      <c r="I64" s="12" t="s">
        <v>893</v>
      </c>
      <c r="J64" s="12" t="s">
        <v>894</v>
      </c>
      <c r="K64" s="12" t="s">
        <v>979</v>
      </c>
      <c r="L64" s="12"/>
      <c r="M64" s="11"/>
      <c r="N64" s="11"/>
      <c r="O64" s="11"/>
      <c r="P64" s="11"/>
    </row>
    <row r="65" spans="1:16" x14ac:dyDescent="0.25">
      <c r="A65" s="696">
        <v>43110</v>
      </c>
      <c r="B65" s="696">
        <v>1802</v>
      </c>
      <c r="C65" s="696">
        <v>100</v>
      </c>
      <c r="D65" s="696">
        <v>1000</v>
      </c>
      <c r="F65" s="700" t="s">
        <v>1258</v>
      </c>
      <c r="G65" s="701">
        <v>-1225.6600000000001</v>
      </c>
      <c r="H65" s="12" t="s">
        <v>997</v>
      </c>
      <c r="I65" s="12" t="s">
        <v>893</v>
      </c>
      <c r="J65" s="12" t="s">
        <v>894</v>
      </c>
      <c r="K65" s="12" t="s">
        <v>979</v>
      </c>
      <c r="L65" s="12"/>
      <c r="M65" s="11"/>
      <c r="N65" s="11"/>
      <c r="O65" s="11"/>
      <c r="P65" s="11"/>
    </row>
    <row r="66" spans="1:16" x14ac:dyDescent="0.25">
      <c r="A66" s="696">
        <v>43110</v>
      </c>
      <c r="B66" s="696">
        <v>1805</v>
      </c>
      <c r="C66" s="696">
        <v>100</v>
      </c>
      <c r="D66" s="696">
        <v>1000</v>
      </c>
      <c r="F66" s="700" t="s">
        <v>1258</v>
      </c>
      <c r="G66" s="701">
        <v>-609.09</v>
      </c>
      <c r="H66" s="12" t="s">
        <v>997</v>
      </c>
      <c r="I66" s="12" t="s">
        <v>893</v>
      </c>
      <c r="J66" s="12" t="s">
        <v>894</v>
      </c>
      <c r="K66" s="12" t="s">
        <v>979</v>
      </c>
      <c r="L66" s="12"/>
      <c r="M66" s="11"/>
      <c r="N66" s="11"/>
      <c r="O66" s="11"/>
      <c r="P66" s="11"/>
    </row>
    <row r="67" spans="1:16" x14ac:dyDescent="0.25">
      <c r="A67" s="696">
        <v>43110</v>
      </c>
      <c r="B67" s="696">
        <v>1808</v>
      </c>
      <c r="C67" s="696">
        <v>100</v>
      </c>
      <c r="D67" s="696">
        <v>1000</v>
      </c>
      <c r="F67" s="700" t="s">
        <v>1258</v>
      </c>
      <c r="G67" s="701">
        <v>-3059.42</v>
      </c>
      <c r="H67" s="12" t="s">
        <v>997</v>
      </c>
      <c r="I67" s="12" t="s">
        <v>893</v>
      </c>
      <c r="J67" s="12" t="s">
        <v>894</v>
      </c>
      <c r="K67" s="12" t="s">
        <v>979</v>
      </c>
      <c r="L67" s="12"/>
      <c r="M67" s="11"/>
      <c r="N67" s="11"/>
      <c r="O67" s="11"/>
      <c r="P67" s="11"/>
    </row>
    <row r="68" spans="1:16" x14ac:dyDescent="0.25">
      <c r="A68" s="696">
        <v>43110</v>
      </c>
      <c r="B68" s="696">
        <v>1810</v>
      </c>
      <c r="C68" s="696">
        <v>100</v>
      </c>
      <c r="D68" s="696">
        <v>1000</v>
      </c>
      <c r="F68" s="700" t="s">
        <v>1258</v>
      </c>
      <c r="G68" s="701">
        <v>-4982.49</v>
      </c>
      <c r="H68" s="12" t="s">
        <v>997</v>
      </c>
      <c r="I68" s="12" t="s">
        <v>893</v>
      </c>
      <c r="J68" s="12" t="s">
        <v>894</v>
      </c>
      <c r="K68" s="12" t="s">
        <v>979</v>
      </c>
      <c r="L68" s="12"/>
      <c r="M68" s="11"/>
      <c r="N68" s="11"/>
      <c r="O68" s="11"/>
      <c r="P68" s="11"/>
    </row>
    <row r="69" spans="1:16" x14ac:dyDescent="0.25">
      <c r="A69" s="696">
        <v>43110</v>
      </c>
      <c r="B69" s="696">
        <v>1812</v>
      </c>
      <c r="C69" s="696">
        <v>100</v>
      </c>
      <c r="D69" s="696">
        <v>1000</v>
      </c>
      <c r="F69" s="700" t="s">
        <v>1258</v>
      </c>
      <c r="G69" s="701">
        <v>-7217.27</v>
      </c>
      <c r="H69" s="12" t="s">
        <v>997</v>
      </c>
      <c r="I69" s="12" t="s">
        <v>893</v>
      </c>
      <c r="J69" s="12" t="s">
        <v>894</v>
      </c>
      <c r="K69" s="12" t="s">
        <v>979</v>
      </c>
      <c r="L69" s="12"/>
      <c r="M69" s="11"/>
      <c r="N69" s="11"/>
      <c r="O69" s="11"/>
      <c r="P69" s="11"/>
    </row>
    <row r="70" spans="1:16" x14ac:dyDescent="0.25">
      <c r="A70" s="696">
        <v>43110</v>
      </c>
      <c r="B70" s="696">
        <v>1817</v>
      </c>
      <c r="C70" s="696">
        <v>100</v>
      </c>
      <c r="D70" s="696">
        <v>1000</v>
      </c>
      <c r="F70" s="700" t="s">
        <v>1258</v>
      </c>
      <c r="G70" s="701">
        <v>-1238.8900000000001</v>
      </c>
      <c r="H70" s="12" t="s">
        <v>997</v>
      </c>
      <c r="I70" s="12" t="s">
        <v>893</v>
      </c>
      <c r="J70" s="12" t="s">
        <v>894</v>
      </c>
      <c r="K70" s="12" t="s">
        <v>979</v>
      </c>
      <c r="L70" s="12"/>
      <c r="M70" s="11"/>
      <c r="N70" s="11"/>
      <c r="O70" s="11"/>
      <c r="P70" s="11"/>
    </row>
    <row r="71" spans="1:16" x14ac:dyDescent="0.25">
      <c r="A71" s="696">
        <v>43110</v>
      </c>
      <c r="B71" s="696">
        <v>1818</v>
      </c>
      <c r="C71" s="696">
        <v>100</v>
      </c>
      <c r="D71" s="696">
        <v>1000</v>
      </c>
      <c r="F71" s="700" t="s">
        <v>1258</v>
      </c>
      <c r="G71" s="701">
        <v>-1201.52</v>
      </c>
      <c r="H71" s="12" t="s">
        <v>997</v>
      </c>
      <c r="I71" s="12" t="s">
        <v>893</v>
      </c>
      <c r="J71" s="12" t="s">
        <v>894</v>
      </c>
      <c r="K71" s="12" t="s">
        <v>979</v>
      </c>
      <c r="L71" s="12"/>
      <c r="M71" s="11"/>
      <c r="N71" s="11"/>
      <c r="O71" s="11"/>
      <c r="P71" s="11"/>
    </row>
    <row r="72" spans="1:16" x14ac:dyDescent="0.25">
      <c r="A72" s="696">
        <v>43110</v>
      </c>
      <c r="B72" s="696">
        <v>1823</v>
      </c>
      <c r="C72" s="696">
        <v>100</v>
      </c>
      <c r="D72" s="696">
        <v>1000</v>
      </c>
      <c r="F72" s="700" t="s">
        <v>1258</v>
      </c>
      <c r="G72" s="701">
        <v>-1240.71</v>
      </c>
      <c r="H72" s="12" t="s">
        <v>997</v>
      </c>
      <c r="I72" s="12" t="s">
        <v>893</v>
      </c>
      <c r="J72" s="12" t="s">
        <v>894</v>
      </c>
      <c r="K72" s="12" t="s">
        <v>979</v>
      </c>
      <c r="L72" s="12"/>
      <c r="M72" s="11"/>
      <c r="N72" s="11"/>
      <c r="O72" s="11"/>
      <c r="P72" s="11"/>
    </row>
    <row r="73" spans="1:16" x14ac:dyDescent="0.25">
      <c r="A73" s="696">
        <v>43110</v>
      </c>
      <c r="B73" s="696">
        <v>1833</v>
      </c>
      <c r="C73" s="696">
        <v>100</v>
      </c>
      <c r="D73" s="696">
        <v>1000</v>
      </c>
      <c r="F73" s="700" t="s">
        <v>1258</v>
      </c>
      <c r="G73" s="701">
        <v>-4921.58</v>
      </c>
      <c r="H73" s="12" t="s">
        <v>997</v>
      </c>
      <c r="I73" s="12" t="s">
        <v>893</v>
      </c>
      <c r="J73" s="12" t="s">
        <v>894</v>
      </c>
      <c r="K73" s="12" t="s">
        <v>979</v>
      </c>
      <c r="L73" s="12"/>
      <c r="M73" s="11"/>
      <c r="N73" s="11"/>
      <c r="O73" s="11"/>
      <c r="P73" s="11"/>
    </row>
    <row r="74" spans="1:16" x14ac:dyDescent="0.25">
      <c r="A74" s="696">
        <v>43110</v>
      </c>
      <c r="B74" s="696">
        <v>1834</v>
      </c>
      <c r="C74" s="696">
        <v>100</v>
      </c>
      <c r="D74" s="696">
        <v>1000</v>
      </c>
      <c r="F74" s="700" t="s">
        <v>1258</v>
      </c>
      <c r="G74" s="701">
        <v>-1221.68</v>
      </c>
      <c r="H74" s="12" t="s">
        <v>997</v>
      </c>
      <c r="I74" s="12" t="s">
        <v>893</v>
      </c>
      <c r="J74" s="12" t="s">
        <v>894</v>
      </c>
      <c r="K74" s="12" t="s">
        <v>979</v>
      </c>
      <c r="L74" s="12"/>
      <c r="M74" s="11"/>
      <c r="N74" s="11"/>
      <c r="O74" s="11"/>
      <c r="P74" s="11"/>
    </row>
    <row r="75" spans="1:16" x14ac:dyDescent="0.25">
      <c r="A75" s="696">
        <v>43110</v>
      </c>
      <c r="B75" s="696">
        <v>1835</v>
      </c>
      <c r="C75" s="696">
        <v>100</v>
      </c>
      <c r="D75" s="696">
        <v>1000</v>
      </c>
      <c r="F75" s="700" t="s">
        <v>1258</v>
      </c>
      <c r="G75" s="701">
        <v>-1257</v>
      </c>
      <c r="H75" s="12" t="s">
        <v>997</v>
      </c>
      <c r="I75" s="12" t="s">
        <v>893</v>
      </c>
      <c r="J75" s="12" t="s">
        <v>894</v>
      </c>
      <c r="K75" s="12" t="s">
        <v>979</v>
      </c>
      <c r="L75" s="12"/>
      <c r="M75" s="11"/>
      <c r="N75" s="11"/>
      <c r="O75" s="11"/>
      <c r="P75" s="11"/>
    </row>
    <row r="76" spans="1:16" x14ac:dyDescent="0.25">
      <c r="A76" s="696">
        <v>43110</v>
      </c>
      <c r="B76" s="696">
        <v>1836</v>
      </c>
      <c r="C76" s="696">
        <v>100</v>
      </c>
      <c r="D76" s="696">
        <v>1000</v>
      </c>
      <c r="F76" s="700" t="s">
        <v>1258</v>
      </c>
      <c r="G76" s="701">
        <v>-1246.9100000000001</v>
      </c>
      <c r="H76" s="12" t="s">
        <v>997</v>
      </c>
      <c r="I76" s="12" t="s">
        <v>893</v>
      </c>
      <c r="J76" s="12" t="s">
        <v>894</v>
      </c>
      <c r="K76" s="12" t="s">
        <v>979</v>
      </c>
      <c r="L76" s="12"/>
      <c r="M76" s="11"/>
      <c r="N76" s="11"/>
      <c r="O76" s="11"/>
      <c r="P76" s="11"/>
    </row>
    <row r="77" spans="1:16" x14ac:dyDescent="0.25">
      <c r="A77" s="696">
        <v>43110</v>
      </c>
      <c r="B77" s="696">
        <v>1844</v>
      </c>
      <c r="C77" s="696">
        <v>100</v>
      </c>
      <c r="D77" s="696">
        <v>1000</v>
      </c>
      <c r="F77" s="700" t="s">
        <v>1258</v>
      </c>
      <c r="G77" s="701">
        <v>-1236.32</v>
      </c>
      <c r="H77" s="12" t="s">
        <v>997</v>
      </c>
      <c r="I77" s="12" t="s">
        <v>893</v>
      </c>
      <c r="J77" s="12" t="s">
        <v>894</v>
      </c>
      <c r="K77" s="12" t="s">
        <v>979</v>
      </c>
      <c r="L77" s="12"/>
      <c r="M77" s="11"/>
      <c r="N77" s="11"/>
      <c r="O77" s="11"/>
      <c r="P77" s="11"/>
    </row>
    <row r="78" spans="1:16" x14ac:dyDescent="0.25">
      <c r="A78" s="696">
        <v>43110</v>
      </c>
      <c r="B78" s="696">
        <v>1853</v>
      </c>
      <c r="C78" s="696">
        <v>100</v>
      </c>
      <c r="D78" s="696">
        <v>1000</v>
      </c>
      <c r="F78" s="700" t="s">
        <v>1258</v>
      </c>
      <c r="G78" s="701">
        <v>-2492.73</v>
      </c>
      <c r="H78" s="12" t="s">
        <v>997</v>
      </c>
      <c r="I78" s="12" t="s">
        <v>893</v>
      </c>
      <c r="J78" s="12" t="s">
        <v>894</v>
      </c>
      <c r="K78" s="12" t="s">
        <v>979</v>
      </c>
      <c r="L78" s="12"/>
      <c r="M78" s="11"/>
      <c r="N78" s="11"/>
      <c r="O78" s="11"/>
      <c r="P78" s="11"/>
    </row>
    <row r="79" spans="1:16" x14ac:dyDescent="0.25">
      <c r="A79" s="696">
        <v>43110</v>
      </c>
      <c r="B79" s="696">
        <v>1859</v>
      </c>
      <c r="C79" s="696">
        <v>100</v>
      </c>
      <c r="D79" s="696">
        <v>1000</v>
      </c>
      <c r="F79" s="700" t="s">
        <v>1258</v>
      </c>
      <c r="G79" s="701">
        <v>-1255.4100000000001</v>
      </c>
      <c r="H79" s="12" t="s">
        <v>997</v>
      </c>
      <c r="I79" s="12" t="s">
        <v>893</v>
      </c>
      <c r="J79" s="12" t="s">
        <v>894</v>
      </c>
      <c r="K79" s="12" t="s">
        <v>979</v>
      </c>
      <c r="L79" s="12"/>
      <c r="M79" s="11"/>
      <c r="N79" s="11"/>
      <c r="O79" s="11"/>
      <c r="P79" s="11"/>
    </row>
    <row r="80" spans="1:16" x14ac:dyDescent="0.25">
      <c r="A80" s="696">
        <v>43110</v>
      </c>
      <c r="B80" s="696">
        <v>1866</v>
      </c>
      <c r="C80" s="696">
        <v>100</v>
      </c>
      <c r="D80" s="696">
        <v>1000</v>
      </c>
      <c r="F80" s="700" t="s">
        <v>1258</v>
      </c>
      <c r="G80" s="701">
        <v>-599.70000000000005</v>
      </c>
      <c r="H80" s="12" t="s">
        <v>997</v>
      </c>
      <c r="I80" s="12" t="s">
        <v>893</v>
      </c>
      <c r="J80" s="12" t="s">
        <v>894</v>
      </c>
      <c r="K80" s="12" t="s">
        <v>979</v>
      </c>
      <c r="L80" s="12"/>
      <c r="M80" s="11"/>
      <c r="N80" s="11"/>
      <c r="O80" s="11"/>
      <c r="P80" s="11"/>
    </row>
    <row r="81" spans="1:16" x14ac:dyDescent="0.25">
      <c r="A81" s="696">
        <v>43110</v>
      </c>
      <c r="B81" s="696">
        <v>1867</v>
      </c>
      <c r="C81" s="696">
        <v>100</v>
      </c>
      <c r="D81" s="696">
        <v>1000</v>
      </c>
      <c r="F81" s="700" t="s">
        <v>1258</v>
      </c>
      <c r="G81" s="701">
        <v>-1573.61</v>
      </c>
      <c r="H81" s="12" t="s">
        <v>997</v>
      </c>
      <c r="I81" s="12" t="s">
        <v>893</v>
      </c>
      <c r="J81" s="12" t="s">
        <v>894</v>
      </c>
      <c r="K81" s="12" t="s">
        <v>979</v>
      </c>
      <c r="L81" s="12"/>
      <c r="M81" s="11"/>
      <c r="N81" s="11"/>
      <c r="O81" s="11"/>
      <c r="P81" s="11"/>
    </row>
    <row r="82" spans="1:16" x14ac:dyDescent="0.25">
      <c r="A82" s="696">
        <v>43110</v>
      </c>
      <c r="B82" s="696">
        <v>1910</v>
      </c>
      <c r="C82" s="696">
        <v>100</v>
      </c>
      <c r="D82" s="696">
        <v>1000</v>
      </c>
      <c r="F82" s="700" t="s">
        <v>1258</v>
      </c>
      <c r="G82" s="701">
        <v>-446.55</v>
      </c>
      <c r="H82" s="12" t="s">
        <v>997</v>
      </c>
      <c r="I82" s="12" t="s">
        <v>893</v>
      </c>
      <c r="J82" s="12" t="s">
        <v>894</v>
      </c>
      <c r="K82" s="12" t="s">
        <v>979</v>
      </c>
      <c r="L82" s="12"/>
      <c r="M82" s="11"/>
      <c r="N82" s="11"/>
      <c r="O82" s="11"/>
      <c r="P82" s="11"/>
    </row>
    <row r="83" spans="1:16" x14ac:dyDescent="0.25">
      <c r="A83" s="696">
        <v>43111</v>
      </c>
      <c r="B83" s="696">
        <v>1000</v>
      </c>
      <c r="C83" s="696">
        <v>0</v>
      </c>
      <c r="D83" s="696">
        <v>0</v>
      </c>
      <c r="F83" s="700" t="s">
        <v>1259</v>
      </c>
      <c r="G83" s="701">
        <v>-248870.32</v>
      </c>
      <c r="H83" s="12" t="s">
        <v>889</v>
      </c>
      <c r="I83" s="12" t="s">
        <v>21</v>
      </c>
      <c r="J83" s="12" t="s">
        <v>21</v>
      </c>
      <c r="K83" s="12" t="s">
        <v>979</v>
      </c>
      <c r="L83" s="12"/>
      <c r="M83" s="11"/>
      <c r="N83" s="11"/>
      <c r="O83" s="11"/>
      <c r="P83" s="11"/>
    </row>
    <row r="84" spans="1:16" x14ac:dyDescent="0.25">
      <c r="A84" s="696">
        <v>43112</v>
      </c>
      <c r="B84" s="696">
        <v>1000</v>
      </c>
      <c r="C84" s="696">
        <v>100</v>
      </c>
      <c r="D84" s="696">
        <v>1000</v>
      </c>
      <c r="F84" s="700" t="s">
        <v>1260</v>
      </c>
      <c r="G84" s="701">
        <v>-1200</v>
      </c>
      <c r="H84" s="12" t="s">
        <v>889</v>
      </c>
      <c r="I84" s="12" t="s">
        <v>893</v>
      </c>
      <c r="J84" s="12" t="s">
        <v>894</v>
      </c>
      <c r="K84" s="12" t="s">
        <v>979</v>
      </c>
      <c r="L84" s="12"/>
      <c r="M84" s="11"/>
      <c r="N84" s="11"/>
      <c r="O84" s="11"/>
      <c r="P84" s="11"/>
    </row>
    <row r="85" spans="1:16" x14ac:dyDescent="0.25">
      <c r="A85" s="696">
        <v>43201</v>
      </c>
      <c r="B85" s="696">
        <v>1012</v>
      </c>
      <c r="C85" s="696">
        <v>0</v>
      </c>
      <c r="D85" s="696">
        <v>0</v>
      </c>
      <c r="F85" s="700" t="s">
        <v>1261</v>
      </c>
      <c r="G85" s="701">
        <v>-2453927.04</v>
      </c>
      <c r="H85" s="12" t="s">
        <v>890</v>
      </c>
      <c r="I85" s="12" t="s">
        <v>21</v>
      </c>
      <c r="J85" s="12" t="s">
        <v>21</v>
      </c>
      <c r="K85" s="12" t="s">
        <v>983</v>
      </c>
      <c r="L85" s="12"/>
      <c r="M85" s="11"/>
      <c r="N85" s="11"/>
      <c r="O85" s="11"/>
      <c r="P85" s="11"/>
    </row>
    <row r="86" spans="1:16" x14ac:dyDescent="0.25">
      <c r="A86" s="696">
        <v>43201</v>
      </c>
      <c r="B86" s="696">
        <v>1012</v>
      </c>
      <c r="C86" s="696">
        <v>100</v>
      </c>
      <c r="D86" s="696">
        <v>1000</v>
      </c>
      <c r="F86" s="700" t="s">
        <v>1261</v>
      </c>
      <c r="G86" s="701">
        <v>-900996.29</v>
      </c>
      <c r="H86" s="12" t="s">
        <v>890</v>
      </c>
      <c r="I86" s="12" t="s">
        <v>893</v>
      </c>
      <c r="J86" s="12" t="s">
        <v>894</v>
      </c>
      <c r="K86" s="12" t="s">
        <v>983</v>
      </c>
      <c r="L86" s="12"/>
      <c r="M86" s="11"/>
      <c r="N86" s="11"/>
      <c r="O86" s="11"/>
      <c r="P86" s="11"/>
    </row>
    <row r="87" spans="1:16" x14ac:dyDescent="0.25">
      <c r="A87" s="696">
        <v>43202</v>
      </c>
      <c r="B87" s="696">
        <v>1020</v>
      </c>
      <c r="C87" s="696">
        <v>0</v>
      </c>
      <c r="D87" s="696">
        <v>0</v>
      </c>
      <c r="F87" s="700" t="s">
        <v>506</v>
      </c>
      <c r="G87" s="701">
        <v>-134485.60999999999</v>
      </c>
      <c r="H87" s="12" t="s">
        <v>892</v>
      </c>
      <c r="I87" s="12" t="s">
        <v>21</v>
      </c>
      <c r="J87" s="12" t="s">
        <v>21</v>
      </c>
      <c r="K87" s="12" t="s">
        <v>983</v>
      </c>
      <c r="L87" s="12"/>
      <c r="M87" s="11"/>
      <c r="N87" s="11"/>
      <c r="O87" s="11"/>
      <c r="P87" s="11"/>
    </row>
    <row r="88" spans="1:16" x14ac:dyDescent="0.25">
      <c r="A88" s="696">
        <v>43202</v>
      </c>
      <c r="B88" s="696">
        <v>1020</v>
      </c>
      <c r="C88" s="696">
        <v>100</v>
      </c>
      <c r="D88" s="696">
        <v>1000</v>
      </c>
      <c r="F88" s="700" t="s">
        <v>506</v>
      </c>
      <c r="G88" s="701">
        <v>-130656.23</v>
      </c>
      <c r="H88" s="12" t="s">
        <v>892</v>
      </c>
      <c r="I88" s="12" t="s">
        <v>893</v>
      </c>
      <c r="J88" s="12" t="s">
        <v>894</v>
      </c>
      <c r="K88" s="12" t="s">
        <v>983</v>
      </c>
      <c r="L88" s="12"/>
      <c r="M88" s="11"/>
      <c r="N88" s="11"/>
      <c r="O88" s="11"/>
      <c r="P88" s="11"/>
    </row>
    <row r="89" spans="1:16" x14ac:dyDescent="0.25">
      <c r="A89" s="696">
        <v>43206</v>
      </c>
      <c r="B89" s="696">
        <v>1487</v>
      </c>
      <c r="C89" s="696">
        <v>100</v>
      </c>
      <c r="D89" s="696">
        <v>0</v>
      </c>
      <c r="F89" s="700" t="s">
        <v>1262</v>
      </c>
      <c r="G89" s="701">
        <v>-69238.460000000006</v>
      </c>
      <c r="H89" s="12" t="s">
        <v>995</v>
      </c>
      <c r="I89" s="12" t="s">
        <v>893</v>
      </c>
      <c r="J89" s="12" t="s">
        <v>21</v>
      </c>
      <c r="K89" s="12" t="s">
        <v>983</v>
      </c>
      <c r="L89" s="12"/>
      <c r="M89" s="11"/>
      <c r="N89" s="11"/>
      <c r="O89" s="11"/>
      <c r="P89" s="11"/>
    </row>
    <row r="90" spans="1:16" x14ac:dyDescent="0.25">
      <c r="A90" s="696">
        <v>43206</v>
      </c>
      <c r="B90" s="696">
        <v>1487</v>
      </c>
      <c r="C90" s="696">
        <v>100</v>
      </c>
      <c r="D90" s="696">
        <v>1000</v>
      </c>
      <c r="F90" s="700" t="s">
        <v>1262</v>
      </c>
      <c r="G90" s="701">
        <v>-15836.27</v>
      </c>
      <c r="H90" s="12" t="s">
        <v>995</v>
      </c>
      <c r="I90" s="12" t="s">
        <v>893</v>
      </c>
      <c r="J90" s="12" t="s">
        <v>894</v>
      </c>
      <c r="K90" s="12" t="s">
        <v>983</v>
      </c>
      <c r="L90" s="12"/>
      <c r="M90" s="11"/>
      <c r="N90" s="11"/>
      <c r="O90" s="11"/>
      <c r="P90" s="11"/>
    </row>
    <row r="91" spans="1:16" x14ac:dyDescent="0.25">
      <c r="A91" s="696">
        <v>44502</v>
      </c>
      <c r="B91" s="696">
        <v>1130</v>
      </c>
      <c r="C91" s="696">
        <v>100</v>
      </c>
      <c r="D91" s="696">
        <v>0</v>
      </c>
      <c r="F91" s="700" t="s">
        <v>1263</v>
      </c>
      <c r="G91" s="701">
        <v>-26314.2</v>
      </c>
      <c r="H91" s="12" t="s">
        <v>904</v>
      </c>
      <c r="I91" s="12" t="s">
        <v>893</v>
      </c>
      <c r="J91" s="12" t="s">
        <v>21</v>
      </c>
      <c r="K91" s="12" t="s">
        <v>990</v>
      </c>
      <c r="L91" s="12"/>
      <c r="M91" s="11"/>
      <c r="N91" s="11"/>
      <c r="O91" s="11"/>
      <c r="P91" s="11"/>
    </row>
    <row r="92" spans="1:16" x14ac:dyDescent="0.25">
      <c r="A92" s="696">
        <v>44511</v>
      </c>
      <c r="B92" s="696">
        <v>1190</v>
      </c>
      <c r="C92" s="696">
        <v>100</v>
      </c>
      <c r="D92" s="696">
        <v>0</v>
      </c>
      <c r="F92" s="700" t="s">
        <v>1264</v>
      </c>
      <c r="G92" s="701">
        <v>-76.08</v>
      </c>
      <c r="H92" s="12" t="s">
        <v>920</v>
      </c>
      <c r="I92" s="12" t="s">
        <v>893</v>
      </c>
      <c r="J92" s="12" t="s">
        <v>21</v>
      </c>
      <c r="K92" s="12" t="s">
        <v>990</v>
      </c>
      <c r="L92" s="12"/>
      <c r="M92" s="11"/>
      <c r="N92" s="11"/>
      <c r="O92" s="11"/>
      <c r="P92" s="11"/>
    </row>
    <row r="93" spans="1:16" x14ac:dyDescent="0.25">
      <c r="A93" s="696">
        <v>44511</v>
      </c>
      <c r="B93" s="696">
        <v>1190</v>
      </c>
      <c r="C93" s="696">
        <v>100</v>
      </c>
      <c r="D93" s="696">
        <v>1000</v>
      </c>
      <c r="F93" s="700" t="s">
        <v>1264</v>
      </c>
      <c r="G93" s="701">
        <v>-2400.37</v>
      </c>
      <c r="H93" s="12" t="s">
        <v>920</v>
      </c>
      <c r="I93" s="12" t="s">
        <v>893</v>
      </c>
      <c r="J93" s="12" t="s">
        <v>894</v>
      </c>
      <c r="K93" s="12" t="s">
        <v>990</v>
      </c>
      <c r="L93" s="12"/>
      <c r="M93" s="11"/>
      <c r="N93" s="11"/>
      <c r="O93" s="11"/>
      <c r="P93" s="11"/>
    </row>
    <row r="94" spans="1:16" x14ac:dyDescent="0.25">
      <c r="A94" s="696">
        <v>44526</v>
      </c>
      <c r="B94" s="696">
        <v>1220</v>
      </c>
      <c r="C94" s="696">
        <v>200</v>
      </c>
      <c r="D94" s="696">
        <v>0</v>
      </c>
      <c r="F94" s="700" t="s">
        <v>1265</v>
      </c>
      <c r="G94" s="701">
        <v>-494965.62</v>
      </c>
      <c r="H94" s="12" t="s">
        <v>932</v>
      </c>
      <c r="I94" s="12" t="s">
        <v>897</v>
      </c>
      <c r="J94" s="12" t="s">
        <v>21</v>
      </c>
      <c r="K94" s="12" t="s">
        <v>990</v>
      </c>
      <c r="L94" s="12"/>
      <c r="M94" s="11"/>
      <c r="N94" s="11"/>
      <c r="O94" s="11"/>
      <c r="P94" s="11"/>
    </row>
    <row r="95" spans="1:16" x14ac:dyDescent="0.25">
      <c r="A95" s="696">
        <v>44526</v>
      </c>
      <c r="B95" s="696">
        <v>1220</v>
      </c>
      <c r="C95" s="696">
        <v>200</v>
      </c>
      <c r="D95" s="696">
        <v>1000</v>
      </c>
      <c r="F95" s="700" t="s">
        <v>1265</v>
      </c>
      <c r="G95" s="701">
        <v>-57933.02</v>
      </c>
      <c r="H95" s="12" t="s">
        <v>932</v>
      </c>
      <c r="I95" s="12" t="s">
        <v>897</v>
      </c>
      <c r="J95" s="12" t="s">
        <v>894</v>
      </c>
      <c r="K95" s="12" t="s">
        <v>990</v>
      </c>
      <c r="L95" s="12"/>
      <c r="M95" s="11"/>
      <c r="N95" s="11"/>
      <c r="O95" s="11"/>
      <c r="P95" s="11"/>
    </row>
    <row r="96" spans="1:16" x14ac:dyDescent="0.25">
      <c r="A96" s="696">
        <v>44526</v>
      </c>
      <c r="B96" s="696">
        <v>1227</v>
      </c>
      <c r="C96" s="696">
        <v>100</v>
      </c>
      <c r="D96" s="696">
        <v>1000</v>
      </c>
      <c r="F96" s="700" t="s">
        <v>1265</v>
      </c>
      <c r="G96" s="701">
        <v>-3452.85</v>
      </c>
      <c r="H96" s="12" t="s">
        <v>936</v>
      </c>
      <c r="I96" s="12" t="s">
        <v>893</v>
      </c>
      <c r="J96" s="12" t="s">
        <v>894</v>
      </c>
      <c r="K96" s="12" t="s">
        <v>990</v>
      </c>
      <c r="L96" s="12"/>
      <c r="M96" s="11"/>
      <c r="N96" s="11"/>
      <c r="O96" s="11"/>
      <c r="P96" s="11"/>
    </row>
    <row r="97" spans="1:16" x14ac:dyDescent="0.25">
      <c r="A97" s="696">
        <v>44526</v>
      </c>
      <c r="B97" s="696">
        <v>1228</v>
      </c>
      <c r="C97" s="696">
        <v>0</v>
      </c>
      <c r="D97" s="696">
        <v>0</v>
      </c>
      <c r="F97" s="700" t="s">
        <v>1265</v>
      </c>
      <c r="G97" s="701">
        <v>0</v>
      </c>
      <c r="H97" s="12" t="s">
        <v>940</v>
      </c>
      <c r="I97" s="12" t="s">
        <v>21</v>
      </c>
      <c r="J97" s="12" t="s">
        <v>21</v>
      </c>
      <c r="K97" s="12" t="s">
        <v>990</v>
      </c>
      <c r="L97" s="12"/>
      <c r="M97" s="11"/>
      <c r="N97" s="11"/>
      <c r="O97" s="11"/>
      <c r="P97" s="11"/>
    </row>
    <row r="98" spans="1:16" x14ac:dyDescent="0.25">
      <c r="A98" s="696">
        <v>44535</v>
      </c>
      <c r="B98" s="696">
        <v>1327</v>
      </c>
      <c r="C98" s="696">
        <v>100</v>
      </c>
      <c r="D98" s="696">
        <v>0</v>
      </c>
      <c r="F98" s="700" t="s">
        <v>1266</v>
      </c>
      <c r="G98" s="701">
        <v>-92.13</v>
      </c>
      <c r="H98" s="12" t="s">
        <v>968</v>
      </c>
      <c r="I98" s="12" t="s">
        <v>893</v>
      </c>
      <c r="J98" s="12" t="s">
        <v>21</v>
      </c>
      <c r="K98" s="12" t="s">
        <v>990</v>
      </c>
      <c r="L98" s="12"/>
      <c r="M98" s="11"/>
      <c r="N98" s="11"/>
      <c r="O98" s="11"/>
      <c r="P98" s="11"/>
    </row>
    <row r="99" spans="1:16" x14ac:dyDescent="0.25">
      <c r="A99" s="696">
        <v>44536</v>
      </c>
      <c r="B99" s="696">
        <v>1322</v>
      </c>
      <c r="C99" s="696">
        <v>0</v>
      </c>
      <c r="D99" s="696">
        <v>0</v>
      </c>
      <c r="F99" s="700" t="s">
        <v>1267</v>
      </c>
      <c r="G99" s="701">
        <v>-3709687.18</v>
      </c>
      <c r="H99" s="12" t="s">
        <v>968</v>
      </c>
      <c r="I99" s="12" t="s">
        <v>21</v>
      </c>
      <c r="J99" s="12" t="s">
        <v>21</v>
      </c>
      <c r="K99" s="12" t="s">
        <v>990</v>
      </c>
      <c r="L99" s="12"/>
      <c r="M99" s="11"/>
      <c r="N99" s="11"/>
      <c r="O99" s="11"/>
      <c r="P99" s="11"/>
    </row>
    <row r="100" spans="1:16" x14ac:dyDescent="0.25">
      <c r="A100" s="696">
        <v>56111</v>
      </c>
      <c r="B100" s="696">
        <v>1000</v>
      </c>
      <c r="C100" s="696">
        <v>100</v>
      </c>
      <c r="D100" s="696">
        <v>1000</v>
      </c>
      <c r="F100" s="700" t="s">
        <v>1268</v>
      </c>
      <c r="G100" s="701">
        <v>769235.96</v>
      </c>
      <c r="H100" s="12" t="s">
        <v>889</v>
      </c>
      <c r="I100" s="12" t="s">
        <v>893</v>
      </c>
      <c r="J100" s="12" t="s">
        <v>894</v>
      </c>
      <c r="K100" s="12" t="s">
        <v>891</v>
      </c>
      <c r="L100" s="12"/>
      <c r="M100" s="11"/>
      <c r="N100" s="11"/>
      <c r="O100" s="11"/>
      <c r="P100" s="11"/>
    </row>
    <row r="101" spans="1:16" x14ac:dyDescent="0.25">
      <c r="A101" s="696">
        <v>56111</v>
      </c>
      <c r="B101" s="696">
        <v>1000</v>
      </c>
      <c r="C101" s="696">
        <v>100</v>
      </c>
      <c r="D101" s="696">
        <v>2100</v>
      </c>
      <c r="F101" s="700" t="s">
        <v>1268</v>
      </c>
      <c r="G101" s="701">
        <v>3342016.15</v>
      </c>
      <c r="H101" s="12" t="s">
        <v>889</v>
      </c>
      <c r="I101" s="12" t="s">
        <v>893</v>
      </c>
      <c r="J101" s="12" t="s">
        <v>902</v>
      </c>
      <c r="K101" s="12" t="s">
        <v>891</v>
      </c>
      <c r="L101" s="12"/>
      <c r="M101" s="11"/>
      <c r="N101" s="11"/>
      <c r="O101" s="11"/>
      <c r="P101" s="11"/>
    </row>
    <row r="102" spans="1:16" x14ac:dyDescent="0.25">
      <c r="A102" s="696">
        <v>56111</v>
      </c>
      <c r="B102" s="696">
        <v>1000</v>
      </c>
      <c r="C102" s="696">
        <v>100</v>
      </c>
      <c r="D102" s="696">
        <v>2110</v>
      </c>
      <c r="F102" s="700" t="s">
        <v>1268</v>
      </c>
      <c r="G102" s="701">
        <v>78786.42</v>
      </c>
      <c r="H102" s="12" t="s">
        <v>889</v>
      </c>
      <c r="I102" s="12" t="s">
        <v>893</v>
      </c>
      <c r="J102" s="12" t="s">
        <v>902</v>
      </c>
      <c r="K102" s="12" t="s">
        <v>891</v>
      </c>
      <c r="L102" s="12"/>
      <c r="M102" s="11"/>
      <c r="N102" s="11"/>
      <c r="O102" s="11"/>
      <c r="P102" s="11"/>
    </row>
    <row r="103" spans="1:16" x14ac:dyDescent="0.25">
      <c r="A103" s="696">
        <v>56111</v>
      </c>
      <c r="B103" s="696">
        <v>1000</v>
      </c>
      <c r="C103" s="696">
        <v>100</v>
      </c>
      <c r="D103" s="696">
        <v>2200</v>
      </c>
      <c r="F103" s="700" t="s">
        <v>1268</v>
      </c>
      <c r="G103" s="701">
        <v>696872.32</v>
      </c>
      <c r="H103" s="12" t="s">
        <v>889</v>
      </c>
      <c r="I103" s="12" t="s">
        <v>893</v>
      </c>
      <c r="J103" s="12" t="s">
        <v>906</v>
      </c>
      <c r="K103" s="12" t="s">
        <v>891</v>
      </c>
      <c r="L103" s="12"/>
      <c r="M103" s="11"/>
      <c r="N103" s="11"/>
      <c r="O103" s="11"/>
      <c r="P103" s="11"/>
    </row>
    <row r="104" spans="1:16" x14ac:dyDescent="0.25">
      <c r="A104" s="696">
        <v>56111</v>
      </c>
      <c r="B104" s="696">
        <v>1000</v>
      </c>
      <c r="C104" s="696">
        <v>100</v>
      </c>
      <c r="D104" s="696">
        <v>2300</v>
      </c>
      <c r="F104" s="700" t="s">
        <v>1268</v>
      </c>
      <c r="G104" s="701">
        <v>252609.79</v>
      </c>
      <c r="H104" s="12" t="s">
        <v>889</v>
      </c>
      <c r="I104" s="12" t="s">
        <v>893</v>
      </c>
      <c r="J104" s="12" t="s">
        <v>918</v>
      </c>
      <c r="K104" s="12" t="s">
        <v>891</v>
      </c>
      <c r="L104" s="12"/>
      <c r="M104" s="11"/>
      <c r="N104" s="11"/>
      <c r="O104" s="11"/>
      <c r="P104" s="11"/>
    </row>
    <row r="105" spans="1:16" x14ac:dyDescent="0.25">
      <c r="A105" s="696">
        <v>56111</v>
      </c>
      <c r="B105" s="696">
        <v>1000</v>
      </c>
      <c r="C105" s="696">
        <v>100</v>
      </c>
      <c r="D105" s="696">
        <v>2310</v>
      </c>
      <c r="F105" s="700" t="s">
        <v>1268</v>
      </c>
      <c r="G105" s="701">
        <v>122197.87</v>
      </c>
      <c r="H105" s="12" t="s">
        <v>889</v>
      </c>
      <c r="I105" s="12" t="s">
        <v>893</v>
      </c>
      <c r="J105" s="12" t="s">
        <v>918</v>
      </c>
      <c r="K105" s="12" t="s">
        <v>891</v>
      </c>
      <c r="L105" s="12"/>
      <c r="M105" s="11"/>
      <c r="N105" s="11"/>
      <c r="O105" s="11"/>
      <c r="P105" s="11"/>
    </row>
    <row r="106" spans="1:16" x14ac:dyDescent="0.25">
      <c r="A106" s="696">
        <v>56111</v>
      </c>
      <c r="B106" s="696">
        <v>1000</v>
      </c>
      <c r="C106" s="696">
        <v>100</v>
      </c>
      <c r="D106" s="696">
        <v>2400</v>
      </c>
      <c r="F106" s="700" t="s">
        <v>1268</v>
      </c>
      <c r="G106" s="701">
        <v>882243.46</v>
      </c>
      <c r="H106" s="12" t="s">
        <v>889</v>
      </c>
      <c r="I106" s="12" t="s">
        <v>893</v>
      </c>
      <c r="J106" s="12" t="s">
        <v>922</v>
      </c>
      <c r="K106" s="12" t="s">
        <v>891</v>
      </c>
      <c r="L106" s="12"/>
      <c r="M106" s="11"/>
      <c r="N106" s="11"/>
      <c r="O106" s="11"/>
      <c r="P106" s="11"/>
    </row>
    <row r="107" spans="1:16" x14ac:dyDescent="0.25">
      <c r="A107" s="696">
        <v>56111</v>
      </c>
      <c r="B107" s="696">
        <v>1000</v>
      </c>
      <c r="C107" s="696">
        <v>100</v>
      </c>
      <c r="D107" s="696">
        <v>2410</v>
      </c>
      <c r="F107" s="700" t="s">
        <v>1268</v>
      </c>
      <c r="G107" s="701">
        <v>56559.08</v>
      </c>
      <c r="H107" s="12" t="s">
        <v>889</v>
      </c>
      <c r="I107" s="12" t="s">
        <v>893</v>
      </c>
      <c r="J107" s="12" t="s">
        <v>922</v>
      </c>
      <c r="K107" s="12" t="s">
        <v>891</v>
      </c>
      <c r="L107" s="12"/>
      <c r="M107" s="11"/>
      <c r="N107" s="11"/>
      <c r="O107" s="11"/>
      <c r="P107" s="11"/>
    </row>
    <row r="108" spans="1:16" x14ac:dyDescent="0.25">
      <c r="A108" s="696">
        <v>56111</v>
      </c>
      <c r="B108" s="696">
        <v>1000</v>
      </c>
      <c r="C108" s="696">
        <v>100</v>
      </c>
      <c r="D108" s="696">
        <v>2500</v>
      </c>
      <c r="F108" s="700" t="s">
        <v>1268</v>
      </c>
      <c r="G108" s="701">
        <v>3231119.97</v>
      </c>
      <c r="H108" s="12" t="s">
        <v>889</v>
      </c>
      <c r="I108" s="12" t="s">
        <v>893</v>
      </c>
      <c r="J108" s="12" t="s">
        <v>926</v>
      </c>
      <c r="K108" s="12" t="s">
        <v>891</v>
      </c>
      <c r="L108" s="12"/>
      <c r="M108" s="11"/>
      <c r="N108" s="11"/>
      <c r="O108" s="11"/>
      <c r="P108" s="11"/>
    </row>
    <row r="109" spans="1:16" x14ac:dyDescent="0.25">
      <c r="A109" s="696">
        <v>56111</v>
      </c>
      <c r="B109" s="696">
        <v>1000</v>
      </c>
      <c r="C109" s="696">
        <v>100</v>
      </c>
      <c r="D109" s="696">
        <v>2510</v>
      </c>
      <c r="F109" s="700" t="s">
        <v>1268</v>
      </c>
      <c r="G109" s="701">
        <v>89556.44</v>
      </c>
      <c r="H109" s="12" t="s">
        <v>889</v>
      </c>
      <c r="I109" s="12" t="s">
        <v>893</v>
      </c>
      <c r="J109" s="12" t="s">
        <v>926</v>
      </c>
      <c r="K109" s="12" t="s">
        <v>891</v>
      </c>
      <c r="L109" s="12"/>
      <c r="M109" s="11"/>
      <c r="N109" s="11"/>
      <c r="O109" s="11"/>
      <c r="P109" s="11"/>
    </row>
    <row r="110" spans="1:16" x14ac:dyDescent="0.25">
      <c r="A110" s="696">
        <v>56111</v>
      </c>
      <c r="B110" s="696">
        <v>1000</v>
      </c>
      <c r="C110" s="696">
        <v>100</v>
      </c>
      <c r="D110" s="696">
        <v>2520</v>
      </c>
      <c r="F110" s="700" t="s">
        <v>1268</v>
      </c>
      <c r="G110" s="701">
        <v>65814.91</v>
      </c>
      <c r="H110" s="12" t="s">
        <v>889</v>
      </c>
      <c r="I110" s="12" t="s">
        <v>893</v>
      </c>
      <c r="J110" s="12" t="s">
        <v>926</v>
      </c>
      <c r="K110" s="12" t="s">
        <v>891</v>
      </c>
      <c r="L110" s="12"/>
      <c r="M110" s="11"/>
      <c r="N110" s="11"/>
      <c r="O110" s="11"/>
      <c r="P110" s="11"/>
    </row>
    <row r="111" spans="1:16" x14ac:dyDescent="0.25">
      <c r="A111" s="696">
        <v>56111</v>
      </c>
      <c r="B111" s="696">
        <v>1000</v>
      </c>
      <c r="C111" s="696">
        <v>100</v>
      </c>
      <c r="D111" s="696">
        <v>2600</v>
      </c>
      <c r="F111" s="700" t="s">
        <v>1268</v>
      </c>
      <c r="G111" s="701">
        <v>99762.41</v>
      </c>
      <c r="H111" s="12" t="s">
        <v>889</v>
      </c>
      <c r="I111" s="12" t="s">
        <v>893</v>
      </c>
      <c r="J111" s="12" t="s">
        <v>930</v>
      </c>
      <c r="K111" s="12" t="s">
        <v>891</v>
      </c>
      <c r="L111" s="12"/>
      <c r="M111" s="11"/>
      <c r="N111" s="11"/>
      <c r="O111" s="11"/>
      <c r="P111" s="11"/>
    </row>
    <row r="112" spans="1:16" x14ac:dyDescent="0.25">
      <c r="A112" s="696">
        <v>56111</v>
      </c>
      <c r="B112" s="696">
        <v>1000</v>
      </c>
      <c r="C112" s="696">
        <v>100</v>
      </c>
      <c r="D112" s="696">
        <v>2700</v>
      </c>
      <c r="F112" s="700" t="s">
        <v>1268</v>
      </c>
      <c r="G112" s="701">
        <v>75.73</v>
      </c>
      <c r="H112" s="12" t="s">
        <v>889</v>
      </c>
      <c r="I112" s="12" t="s">
        <v>913</v>
      </c>
      <c r="J112" s="12" t="s">
        <v>934</v>
      </c>
      <c r="K112" s="12" t="s">
        <v>891</v>
      </c>
      <c r="L112" s="12"/>
      <c r="M112" s="11"/>
      <c r="N112" s="11"/>
      <c r="O112" s="11"/>
      <c r="P112" s="11"/>
    </row>
    <row r="113" spans="1:16" x14ac:dyDescent="0.25">
      <c r="A113" s="696">
        <v>56111</v>
      </c>
      <c r="B113" s="696">
        <v>1000</v>
      </c>
      <c r="C113" s="696">
        <v>100</v>
      </c>
      <c r="D113" s="696">
        <v>3100</v>
      </c>
      <c r="F113" s="700" t="s">
        <v>1268</v>
      </c>
      <c r="G113" s="701">
        <v>430.02</v>
      </c>
      <c r="H113" s="12" t="s">
        <v>889</v>
      </c>
      <c r="I113" s="12" t="s">
        <v>893</v>
      </c>
      <c r="J113" s="12" t="s">
        <v>942</v>
      </c>
      <c r="K113" s="12" t="s">
        <v>891</v>
      </c>
      <c r="L113" s="12"/>
      <c r="M113" s="11"/>
      <c r="N113" s="11"/>
      <c r="O113" s="11"/>
      <c r="P113" s="11"/>
    </row>
    <row r="114" spans="1:16" x14ac:dyDescent="0.25">
      <c r="A114" s="696">
        <v>56111</v>
      </c>
      <c r="B114" s="696">
        <v>1000</v>
      </c>
      <c r="C114" s="696">
        <v>200</v>
      </c>
      <c r="D114" s="696">
        <v>1000</v>
      </c>
      <c r="F114" s="700" t="s">
        <v>1268</v>
      </c>
      <c r="G114" s="701">
        <v>131008.18</v>
      </c>
      <c r="H114" s="12" t="s">
        <v>889</v>
      </c>
      <c r="I114" s="12" t="s">
        <v>897</v>
      </c>
      <c r="J114" s="12" t="s">
        <v>894</v>
      </c>
      <c r="K114" s="12" t="s">
        <v>891</v>
      </c>
      <c r="L114" s="12"/>
      <c r="M114" s="11"/>
      <c r="N114" s="11"/>
      <c r="O114" s="11"/>
      <c r="P114" s="11"/>
    </row>
    <row r="115" spans="1:16" x14ac:dyDescent="0.25">
      <c r="A115" s="696">
        <v>56111</v>
      </c>
      <c r="B115" s="696">
        <v>1000</v>
      </c>
      <c r="C115" s="696">
        <v>200</v>
      </c>
      <c r="D115" s="696">
        <v>2100</v>
      </c>
      <c r="F115" s="700" t="s">
        <v>1268</v>
      </c>
      <c r="G115" s="701">
        <v>93649.55</v>
      </c>
      <c r="H115" s="12" t="s">
        <v>889</v>
      </c>
      <c r="I115" s="12" t="s">
        <v>897</v>
      </c>
      <c r="J115" s="12" t="s">
        <v>902</v>
      </c>
      <c r="K115" s="12" t="s">
        <v>891</v>
      </c>
      <c r="L115" s="12"/>
      <c r="M115" s="11"/>
      <c r="N115" s="11"/>
      <c r="O115" s="11"/>
      <c r="P115" s="11"/>
    </row>
    <row r="116" spans="1:16" x14ac:dyDescent="0.25">
      <c r="A116" s="696">
        <v>56111</v>
      </c>
      <c r="B116" s="696">
        <v>1000</v>
      </c>
      <c r="C116" s="696">
        <v>200</v>
      </c>
      <c r="D116" s="696">
        <v>2200</v>
      </c>
      <c r="F116" s="700" t="s">
        <v>1268</v>
      </c>
      <c r="G116" s="701">
        <v>55500.08</v>
      </c>
      <c r="H116" s="12" t="s">
        <v>889</v>
      </c>
      <c r="I116" s="12" t="s">
        <v>897</v>
      </c>
      <c r="J116" s="12" t="s">
        <v>906</v>
      </c>
      <c r="K116" s="12" t="s">
        <v>891</v>
      </c>
      <c r="L116" s="12"/>
      <c r="M116" s="11"/>
      <c r="N116" s="11"/>
      <c r="O116" s="11"/>
      <c r="P116" s="11"/>
    </row>
    <row r="117" spans="1:16" x14ac:dyDescent="0.25">
      <c r="A117" s="696">
        <v>56111</v>
      </c>
      <c r="B117" s="696">
        <v>1000</v>
      </c>
      <c r="C117" s="696">
        <v>200</v>
      </c>
      <c r="D117" s="696">
        <v>2500</v>
      </c>
      <c r="F117" s="700" t="s">
        <v>1268</v>
      </c>
      <c r="G117" s="701">
        <v>0</v>
      </c>
      <c r="H117" s="12" t="s">
        <v>889</v>
      </c>
      <c r="I117" s="12" t="s">
        <v>897</v>
      </c>
      <c r="J117" s="12" t="s">
        <v>926</v>
      </c>
      <c r="K117" s="12" t="s">
        <v>891</v>
      </c>
      <c r="L117" s="12"/>
      <c r="M117" s="11"/>
      <c r="N117" s="11"/>
      <c r="O117" s="11"/>
      <c r="P117" s="11"/>
    </row>
    <row r="118" spans="1:16" x14ac:dyDescent="0.25">
      <c r="A118" s="696">
        <v>56111</v>
      </c>
      <c r="B118" s="696">
        <v>1000</v>
      </c>
      <c r="C118" s="696">
        <v>240</v>
      </c>
      <c r="D118" s="696">
        <v>1000</v>
      </c>
      <c r="F118" s="700" t="s">
        <v>1268</v>
      </c>
      <c r="G118" s="701">
        <v>126.48</v>
      </c>
      <c r="H118" s="12" t="s">
        <v>889</v>
      </c>
      <c r="I118" s="12" t="s">
        <v>897</v>
      </c>
      <c r="J118" s="12" t="s">
        <v>894</v>
      </c>
      <c r="K118" s="12" t="s">
        <v>891</v>
      </c>
      <c r="L118" s="12"/>
      <c r="M118" s="11"/>
      <c r="N118" s="11"/>
      <c r="O118" s="11"/>
      <c r="P118" s="11"/>
    </row>
    <row r="119" spans="1:16" x14ac:dyDescent="0.25">
      <c r="A119" s="696">
        <v>56111</v>
      </c>
      <c r="B119" s="696">
        <v>1000</v>
      </c>
      <c r="C119" s="696">
        <v>400</v>
      </c>
      <c r="D119" s="696">
        <v>2700</v>
      </c>
      <c r="F119" s="700" t="s">
        <v>1268</v>
      </c>
      <c r="G119" s="701">
        <v>6983.4</v>
      </c>
      <c r="H119" s="12" t="s">
        <v>889</v>
      </c>
      <c r="I119" s="12" t="s">
        <v>913</v>
      </c>
      <c r="J119" s="12" t="s">
        <v>934</v>
      </c>
      <c r="K119" s="12" t="s">
        <v>891</v>
      </c>
      <c r="L119" s="12"/>
      <c r="M119" s="11"/>
      <c r="N119" s="11"/>
      <c r="O119" s="11"/>
      <c r="P119" s="11"/>
    </row>
    <row r="120" spans="1:16" x14ac:dyDescent="0.25">
      <c r="A120" s="696">
        <v>56111</v>
      </c>
      <c r="B120" s="696">
        <v>1000</v>
      </c>
      <c r="C120" s="696">
        <v>615</v>
      </c>
      <c r="D120" s="696">
        <v>1000</v>
      </c>
      <c r="F120" s="700" t="s">
        <v>1268</v>
      </c>
      <c r="G120" s="701">
        <v>1983.71</v>
      </c>
      <c r="H120" s="12" t="s">
        <v>889</v>
      </c>
      <c r="I120" s="12" t="s">
        <v>937</v>
      </c>
      <c r="J120" s="12" t="s">
        <v>894</v>
      </c>
      <c r="K120" s="12" t="s">
        <v>891</v>
      </c>
      <c r="L120" s="12"/>
      <c r="M120" s="11"/>
      <c r="N120" s="11"/>
      <c r="O120" s="11"/>
      <c r="P120" s="11"/>
    </row>
    <row r="121" spans="1:16" x14ac:dyDescent="0.25">
      <c r="A121" s="696">
        <v>56111</v>
      </c>
      <c r="B121" s="696">
        <v>1012</v>
      </c>
      <c r="C121" s="696">
        <v>100</v>
      </c>
      <c r="D121" s="696">
        <v>1000</v>
      </c>
      <c r="F121" s="700" t="s">
        <v>1268</v>
      </c>
      <c r="G121" s="701">
        <v>19660</v>
      </c>
      <c r="H121" s="12" t="s">
        <v>890</v>
      </c>
      <c r="I121" s="12" t="s">
        <v>893</v>
      </c>
      <c r="J121" s="12" t="s">
        <v>894</v>
      </c>
      <c r="K121" s="12" t="s">
        <v>891</v>
      </c>
      <c r="L121" s="12"/>
      <c r="M121" s="11"/>
      <c r="N121" s="11"/>
      <c r="O121" s="11"/>
      <c r="P121" s="11"/>
    </row>
    <row r="122" spans="1:16" x14ac:dyDescent="0.25">
      <c r="A122" s="696">
        <v>56111</v>
      </c>
      <c r="B122" s="696">
        <v>1012</v>
      </c>
      <c r="C122" s="696">
        <v>100</v>
      </c>
      <c r="D122" s="696">
        <v>2100</v>
      </c>
      <c r="F122" s="700" t="s">
        <v>1268</v>
      </c>
      <c r="G122" s="701">
        <v>251799.25</v>
      </c>
      <c r="H122" s="12" t="s">
        <v>890</v>
      </c>
      <c r="I122" s="12" t="s">
        <v>893</v>
      </c>
      <c r="J122" s="12" t="s">
        <v>902</v>
      </c>
      <c r="K122" s="12" t="s">
        <v>891</v>
      </c>
      <c r="L122" s="12"/>
      <c r="M122" s="11"/>
      <c r="N122" s="11"/>
      <c r="O122" s="11"/>
      <c r="P122" s="11"/>
    </row>
    <row r="123" spans="1:16" x14ac:dyDescent="0.25">
      <c r="A123" s="696">
        <v>56111</v>
      </c>
      <c r="B123" s="696">
        <v>1012</v>
      </c>
      <c r="C123" s="696">
        <v>100</v>
      </c>
      <c r="D123" s="696">
        <v>2200</v>
      </c>
      <c r="F123" s="700" t="s">
        <v>1268</v>
      </c>
      <c r="G123" s="701">
        <v>13080</v>
      </c>
      <c r="H123" s="12" t="s">
        <v>890</v>
      </c>
      <c r="I123" s="12" t="s">
        <v>893</v>
      </c>
      <c r="J123" s="12" t="s">
        <v>906</v>
      </c>
      <c r="K123" s="12" t="s">
        <v>891</v>
      </c>
      <c r="L123" s="12"/>
      <c r="M123" s="11"/>
      <c r="N123" s="11"/>
      <c r="O123" s="11"/>
      <c r="P123" s="11"/>
    </row>
    <row r="124" spans="1:16" x14ac:dyDescent="0.25">
      <c r="A124" s="696">
        <v>56111</v>
      </c>
      <c r="B124" s="696">
        <v>1012</v>
      </c>
      <c r="C124" s="696">
        <v>200</v>
      </c>
      <c r="D124" s="696">
        <v>2100</v>
      </c>
      <c r="F124" s="700" t="s">
        <v>1268</v>
      </c>
      <c r="G124" s="701">
        <v>30295.07</v>
      </c>
      <c r="H124" s="12" t="s">
        <v>890</v>
      </c>
      <c r="I124" s="12" t="s">
        <v>897</v>
      </c>
      <c r="J124" s="12" t="s">
        <v>902</v>
      </c>
      <c r="K124" s="12" t="s">
        <v>891</v>
      </c>
      <c r="L124" s="12"/>
      <c r="M124" s="11"/>
      <c r="N124" s="11"/>
      <c r="O124" s="11"/>
      <c r="P124" s="11"/>
    </row>
    <row r="125" spans="1:16" x14ac:dyDescent="0.25">
      <c r="A125" s="696">
        <v>56111</v>
      </c>
      <c r="B125" s="696">
        <v>1190</v>
      </c>
      <c r="C125" s="696">
        <v>260</v>
      </c>
      <c r="D125" s="696">
        <v>1000</v>
      </c>
      <c r="F125" s="700" t="s">
        <v>1268</v>
      </c>
      <c r="G125" s="701">
        <v>1688.92</v>
      </c>
      <c r="H125" s="12" t="s">
        <v>920</v>
      </c>
      <c r="I125" s="12" t="s">
        <v>901</v>
      </c>
      <c r="J125" s="12" t="s">
        <v>894</v>
      </c>
      <c r="K125" s="12" t="s">
        <v>891</v>
      </c>
      <c r="L125" s="12"/>
      <c r="M125" s="11"/>
      <c r="N125" s="11"/>
      <c r="O125" s="11"/>
      <c r="P125" s="11"/>
    </row>
    <row r="126" spans="1:16" x14ac:dyDescent="0.25">
      <c r="A126" s="696">
        <v>56111</v>
      </c>
      <c r="B126" s="696">
        <v>1220</v>
      </c>
      <c r="C126" s="696">
        <v>200</v>
      </c>
      <c r="D126" s="696">
        <v>1000</v>
      </c>
      <c r="F126" s="700" t="s">
        <v>1268</v>
      </c>
      <c r="G126" s="701">
        <v>34318.75</v>
      </c>
      <c r="H126" s="12" t="s">
        <v>932</v>
      </c>
      <c r="I126" s="12" t="s">
        <v>897</v>
      </c>
      <c r="J126" s="12" t="s">
        <v>894</v>
      </c>
      <c r="K126" s="12" t="s">
        <v>891</v>
      </c>
      <c r="L126" s="12"/>
      <c r="M126" s="11"/>
      <c r="N126" s="11"/>
      <c r="O126" s="11"/>
      <c r="P126" s="11"/>
    </row>
    <row r="127" spans="1:16" x14ac:dyDescent="0.25">
      <c r="A127" s="696">
        <v>56111</v>
      </c>
      <c r="B127" s="696">
        <v>1220</v>
      </c>
      <c r="C127" s="696">
        <v>200</v>
      </c>
      <c r="D127" s="696">
        <v>2100</v>
      </c>
      <c r="F127" s="700" t="s">
        <v>1268</v>
      </c>
      <c r="G127" s="701">
        <v>329867.32</v>
      </c>
      <c r="H127" s="12" t="s">
        <v>932</v>
      </c>
      <c r="I127" s="12" t="s">
        <v>897</v>
      </c>
      <c r="J127" s="12" t="s">
        <v>902</v>
      </c>
      <c r="K127" s="12" t="s">
        <v>891</v>
      </c>
      <c r="L127" s="12"/>
      <c r="M127" s="11"/>
      <c r="N127" s="11"/>
      <c r="O127" s="11"/>
      <c r="P127" s="11"/>
    </row>
    <row r="128" spans="1:16" x14ac:dyDescent="0.25">
      <c r="A128" s="696">
        <v>56111</v>
      </c>
      <c r="B128" s="696">
        <v>1220</v>
      </c>
      <c r="C128" s="696">
        <v>200</v>
      </c>
      <c r="D128" s="696">
        <v>2200</v>
      </c>
      <c r="F128" s="700" t="s">
        <v>1268</v>
      </c>
      <c r="G128" s="701">
        <v>0</v>
      </c>
      <c r="H128" s="12" t="s">
        <v>932</v>
      </c>
      <c r="I128" s="12" t="s">
        <v>897</v>
      </c>
      <c r="J128" s="12" t="s">
        <v>906</v>
      </c>
      <c r="K128" s="12" t="s">
        <v>891</v>
      </c>
      <c r="L128" s="12"/>
      <c r="M128" s="11"/>
      <c r="N128" s="11"/>
      <c r="O128" s="11"/>
      <c r="P128" s="11"/>
    </row>
    <row r="129" spans="1:16" x14ac:dyDescent="0.25">
      <c r="A129" s="696">
        <v>56111</v>
      </c>
      <c r="B129" s="696">
        <v>1322</v>
      </c>
      <c r="C129" s="696">
        <v>100</v>
      </c>
      <c r="D129" s="696">
        <v>1000</v>
      </c>
      <c r="F129" s="700" t="s">
        <v>1268</v>
      </c>
      <c r="G129" s="701">
        <v>-250</v>
      </c>
      <c r="H129" s="12" t="s">
        <v>968</v>
      </c>
      <c r="I129" s="12" t="s">
        <v>893</v>
      </c>
      <c r="J129" s="12" t="s">
        <v>894</v>
      </c>
      <c r="K129" s="12" t="s">
        <v>891</v>
      </c>
      <c r="L129" s="12"/>
      <c r="M129" s="11"/>
      <c r="N129" s="11"/>
      <c r="O129" s="11"/>
      <c r="P129" s="11"/>
    </row>
    <row r="130" spans="1:16" x14ac:dyDescent="0.25">
      <c r="A130" s="696">
        <v>56112</v>
      </c>
      <c r="B130" s="696">
        <v>1322</v>
      </c>
      <c r="C130" s="696">
        <v>100</v>
      </c>
      <c r="D130" s="696">
        <v>1000</v>
      </c>
      <c r="F130" s="700" t="s">
        <v>1269</v>
      </c>
      <c r="G130" s="701">
        <v>1554875.38</v>
      </c>
      <c r="H130" s="12" t="s">
        <v>968</v>
      </c>
      <c r="I130" s="12" t="s">
        <v>893</v>
      </c>
      <c r="J130" s="12" t="s">
        <v>894</v>
      </c>
      <c r="K130" s="12" t="s">
        <v>891</v>
      </c>
      <c r="L130" s="12"/>
      <c r="M130" s="11"/>
      <c r="N130" s="11"/>
      <c r="O130" s="11"/>
      <c r="P130" s="11"/>
    </row>
    <row r="131" spans="1:16" x14ac:dyDescent="0.25">
      <c r="A131" s="696">
        <v>56117</v>
      </c>
      <c r="B131" s="696">
        <v>1322</v>
      </c>
      <c r="C131" s="696">
        <v>100</v>
      </c>
      <c r="D131" s="696">
        <v>1000</v>
      </c>
      <c r="F131" s="700" t="s">
        <v>1273</v>
      </c>
      <c r="G131" s="701">
        <v>250</v>
      </c>
      <c r="H131" s="12" t="s">
        <v>968</v>
      </c>
      <c r="I131" s="12" t="s">
        <v>893</v>
      </c>
      <c r="J131" s="12" t="s">
        <v>894</v>
      </c>
      <c r="K131" s="12" t="s">
        <v>891</v>
      </c>
      <c r="L131" s="12"/>
      <c r="M131" s="11"/>
      <c r="N131" s="11"/>
      <c r="O131" s="11"/>
      <c r="P131" s="11"/>
    </row>
    <row r="132" spans="1:16" x14ac:dyDescent="0.25">
      <c r="A132" s="696">
        <v>56122</v>
      </c>
      <c r="B132" s="696">
        <v>1321</v>
      </c>
      <c r="C132" s="696">
        <v>100</v>
      </c>
      <c r="D132" s="696">
        <v>1000</v>
      </c>
      <c r="F132" s="700" t="s">
        <v>1275</v>
      </c>
      <c r="G132" s="701">
        <v>0</v>
      </c>
      <c r="H132" s="12" t="s">
        <v>968</v>
      </c>
      <c r="I132" s="12" t="s">
        <v>893</v>
      </c>
      <c r="J132" s="12" t="s">
        <v>894</v>
      </c>
      <c r="K132" s="12" t="s">
        <v>891</v>
      </c>
      <c r="L132" s="12"/>
      <c r="M132" s="11"/>
      <c r="N132" s="11"/>
      <c r="O132" s="11"/>
      <c r="P132" s="11"/>
    </row>
    <row r="133" spans="1:16" x14ac:dyDescent="0.25">
      <c r="A133" s="696">
        <v>56122</v>
      </c>
      <c r="B133" s="696">
        <v>1322</v>
      </c>
      <c r="C133" s="696">
        <v>100</v>
      </c>
      <c r="D133" s="696">
        <v>1000</v>
      </c>
      <c r="F133" s="700" t="s">
        <v>1275</v>
      </c>
      <c r="G133" s="701">
        <v>125100</v>
      </c>
      <c r="H133" s="12" t="s">
        <v>968</v>
      </c>
      <c r="I133" s="12" t="s">
        <v>893</v>
      </c>
      <c r="J133" s="12" t="s">
        <v>894</v>
      </c>
      <c r="K133" s="12" t="s">
        <v>891</v>
      </c>
      <c r="L133" s="12"/>
      <c r="M133" s="11"/>
      <c r="N133" s="11"/>
      <c r="O133" s="11"/>
      <c r="P133" s="11"/>
    </row>
    <row r="134" spans="1:16" x14ac:dyDescent="0.25">
      <c r="A134" s="696">
        <v>56111</v>
      </c>
      <c r="B134" s="696">
        <v>1227</v>
      </c>
      <c r="C134" s="696">
        <v>200</v>
      </c>
      <c r="D134" s="696">
        <v>2100</v>
      </c>
      <c r="F134" s="700" t="s">
        <v>1268</v>
      </c>
      <c r="G134" s="701">
        <v>2422.0500000000002</v>
      </c>
      <c r="H134" s="12" t="s">
        <v>936</v>
      </c>
      <c r="I134" s="12" t="s">
        <v>897</v>
      </c>
      <c r="J134" s="12" t="s">
        <v>902</v>
      </c>
      <c r="K134" s="12" t="s">
        <v>891</v>
      </c>
      <c r="L134" s="12"/>
      <c r="M134" s="11"/>
      <c r="N134" s="11"/>
      <c r="O134" s="11"/>
      <c r="P134" s="11"/>
    </row>
    <row r="135" spans="1:16" x14ac:dyDescent="0.25">
      <c r="A135" s="696">
        <v>56111</v>
      </c>
      <c r="B135" s="696">
        <v>1322</v>
      </c>
      <c r="C135" s="696">
        <v>100</v>
      </c>
      <c r="D135" s="696">
        <v>2100</v>
      </c>
      <c r="F135" s="700" t="s">
        <v>1268</v>
      </c>
      <c r="G135" s="701">
        <v>442781.29</v>
      </c>
      <c r="H135" s="12" t="s">
        <v>968</v>
      </c>
      <c r="I135" s="12" t="s">
        <v>893</v>
      </c>
      <c r="J135" s="12" t="s">
        <v>902</v>
      </c>
      <c r="K135" s="12" t="s">
        <v>891</v>
      </c>
      <c r="L135" s="12"/>
      <c r="M135" s="11"/>
      <c r="N135" s="11"/>
      <c r="O135" s="11"/>
      <c r="P135" s="11"/>
    </row>
    <row r="136" spans="1:16" x14ac:dyDescent="0.25">
      <c r="A136" s="696">
        <v>56111</v>
      </c>
      <c r="B136" s="696">
        <v>1487</v>
      </c>
      <c r="C136" s="696">
        <v>100</v>
      </c>
      <c r="D136" s="696">
        <v>1000</v>
      </c>
      <c r="F136" s="700" t="s">
        <v>1268</v>
      </c>
      <c r="G136" s="701">
        <v>0</v>
      </c>
      <c r="H136" s="12" t="s">
        <v>995</v>
      </c>
      <c r="I136" s="12" t="s">
        <v>893</v>
      </c>
      <c r="J136" s="12" t="s">
        <v>894</v>
      </c>
      <c r="K136" s="12" t="s">
        <v>891</v>
      </c>
      <c r="L136" s="12"/>
      <c r="M136" s="11"/>
      <c r="N136" s="11"/>
      <c r="O136" s="11"/>
      <c r="P136" s="11"/>
    </row>
    <row r="137" spans="1:16" x14ac:dyDescent="0.25">
      <c r="A137" s="696">
        <v>56111</v>
      </c>
      <c r="B137" s="696">
        <v>1487</v>
      </c>
      <c r="C137" s="696">
        <v>100</v>
      </c>
      <c r="D137" s="696">
        <v>2100</v>
      </c>
      <c r="F137" s="700" t="s">
        <v>1268</v>
      </c>
      <c r="G137" s="701">
        <v>65658</v>
      </c>
      <c r="H137" s="12" t="s">
        <v>995</v>
      </c>
      <c r="I137" s="12" t="s">
        <v>893</v>
      </c>
      <c r="J137" s="12" t="s">
        <v>902</v>
      </c>
      <c r="K137" s="12" t="s">
        <v>891</v>
      </c>
      <c r="L137" s="12"/>
      <c r="M137" s="11"/>
      <c r="N137" s="11"/>
      <c r="O137" s="11"/>
      <c r="P137" s="11"/>
    </row>
    <row r="138" spans="1:16" x14ac:dyDescent="0.25">
      <c r="A138" s="696">
        <v>56111</v>
      </c>
      <c r="B138" s="696">
        <v>1531</v>
      </c>
      <c r="C138" s="696">
        <v>100</v>
      </c>
      <c r="D138" s="696">
        <v>1000</v>
      </c>
      <c r="F138" s="700" t="s">
        <v>1268</v>
      </c>
      <c r="G138" s="701">
        <v>0</v>
      </c>
      <c r="H138" s="12" t="s">
        <v>997</v>
      </c>
      <c r="I138" s="12" t="s">
        <v>893</v>
      </c>
      <c r="J138" s="12" t="s">
        <v>894</v>
      </c>
      <c r="K138" s="12" t="s">
        <v>891</v>
      </c>
      <c r="L138" s="12"/>
      <c r="M138" s="11"/>
      <c r="N138" s="11"/>
      <c r="O138" s="11"/>
      <c r="P138" s="11"/>
    </row>
    <row r="139" spans="1:16" x14ac:dyDescent="0.25">
      <c r="A139" s="696">
        <v>56111</v>
      </c>
      <c r="B139" s="696">
        <v>1531</v>
      </c>
      <c r="C139" s="696">
        <v>100</v>
      </c>
      <c r="D139" s="696">
        <v>2200</v>
      </c>
      <c r="F139" s="700" t="s">
        <v>1268</v>
      </c>
      <c r="G139" s="701">
        <v>411039.96</v>
      </c>
      <c r="H139" s="12" t="s">
        <v>997</v>
      </c>
      <c r="I139" s="12" t="s">
        <v>893</v>
      </c>
      <c r="J139" s="12" t="s">
        <v>906</v>
      </c>
      <c r="K139" s="12" t="s">
        <v>891</v>
      </c>
      <c r="L139" s="12"/>
      <c r="M139" s="11"/>
      <c r="N139" s="11"/>
      <c r="O139" s="11"/>
      <c r="P139" s="11"/>
    </row>
    <row r="140" spans="1:16" x14ac:dyDescent="0.25">
      <c r="A140" s="696">
        <v>56111</v>
      </c>
      <c r="B140" s="696">
        <v>1531</v>
      </c>
      <c r="C140" s="696">
        <v>100</v>
      </c>
      <c r="D140" s="696">
        <v>2500</v>
      </c>
      <c r="F140" s="700" t="s">
        <v>1268</v>
      </c>
      <c r="G140" s="701">
        <v>3697.92</v>
      </c>
      <c r="H140" s="12" t="s">
        <v>997</v>
      </c>
      <c r="I140" s="12" t="s">
        <v>893</v>
      </c>
      <c r="J140" s="12" t="s">
        <v>926</v>
      </c>
      <c r="K140" s="12" t="s">
        <v>891</v>
      </c>
      <c r="L140" s="12"/>
      <c r="M140" s="11"/>
      <c r="N140" s="11"/>
      <c r="O140" s="11"/>
      <c r="P140" s="11"/>
    </row>
    <row r="141" spans="1:16" x14ac:dyDescent="0.25">
      <c r="A141" s="696">
        <v>56111</v>
      </c>
      <c r="B141" s="696">
        <v>1532</v>
      </c>
      <c r="C141" s="696">
        <v>100</v>
      </c>
      <c r="D141" s="696">
        <v>1000</v>
      </c>
      <c r="F141" s="700" t="s">
        <v>1268</v>
      </c>
      <c r="G141" s="701">
        <v>58541.26</v>
      </c>
      <c r="H141" s="12" t="s">
        <v>997</v>
      </c>
      <c r="I141" s="12" t="s">
        <v>893</v>
      </c>
      <c r="J141" s="12" t="s">
        <v>894</v>
      </c>
      <c r="K141" s="12" t="s">
        <v>891</v>
      </c>
      <c r="L141" s="12"/>
      <c r="M141" s="11"/>
      <c r="N141" s="11"/>
      <c r="O141" s="11"/>
      <c r="P141" s="11"/>
    </row>
    <row r="142" spans="1:16" x14ac:dyDescent="0.25">
      <c r="A142" s="696">
        <v>56111</v>
      </c>
      <c r="B142" s="696">
        <v>1532</v>
      </c>
      <c r="C142" s="696">
        <v>100</v>
      </c>
      <c r="D142" s="696">
        <v>2500</v>
      </c>
      <c r="F142" s="700" t="s">
        <v>1268</v>
      </c>
      <c r="G142" s="701">
        <v>16587.990000000002</v>
      </c>
      <c r="H142" s="12" t="s">
        <v>997</v>
      </c>
      <c r="I142" s="12" t="s">
        <v>893</v>
      </c>
      <c r="J142" s="12" t="s">
        <v>926</v>
      </c>
      <c r="K142" s="12" t="s">
        <v>891</v>
      </c>
      <c r="L142" s="12"/>
      <c r="M142" s="11"/>
      <c r="N142" s="11"/>
      <c r="O142" s="11"/>
      <c r="P142" s="11"/>
    </row>
    <row r="143" spans="1:16" x14ac:dyDescent="0.25">
      <c r="A143" s="696">
        <v>56111</v>
      </c>
      <c r="B143" s="696">
        <v>1534</v>
      </c>
      <c r="C143" s="696">
        <v>100</v>
      </c>
      <c r="D143" s="696">
        <v>2700</v>
      </c>
      <c r="F143" s="700" t="s">
        <v>1268</v>
      </c>
      <c r="G143" s="701">
        <v>88.46</v>
      </c>
      <c r="H143" s="12" t="s">
        <v>997</v>
      </c>
      <c r="I143" s="12" t="s">
        <v>913</v>
      </c>
      <c r="J143" s="12" t="s">
        <v>934</v>
      </c>
      <c r="K143" s="12" t="s">
        <v>891</v>
      </c>
      <c r="L143" s="12"/>
      <c r="M143" s="11"/>
      <c r="N143" s="11"/>
      <c r="O143" s="11"/>
      <c r="P143" s="11"/>
    </row>
    <row r="144" spans="1:16" x14ac:dyDescent="0.25">
      <c r="A144" s="696">
        <v>56111</v>
      </c>
      <c r="B144" s="696">
        <v>1534</v>
      </c>
      <c r="C144" s="696">
        <v>400</v>
      </c>
      <c r="D144" s="696">
        <v>2700</v>
      </c>
      <c r="F144" s="700" t="s">
        <v>1268</v>
      </c>
      <c r="G144" s="701">
        <v>7711.19</v>
      </c>
      <c r="H144" s="12" t="s">
        <v>997</v>
      </c>
      <c r="I144" s="12" t="s">
        <v>913</v>
      </c>
      <c r="J144" s="12" t="s">
        <v>934</v>
      </c>
      <c r="K144" s="12" t="s">
        <v>891</v>
      </c>
      <c r="L144" s="12"/>
      <c r="M144" s="11"/>
      <c r="N144" s="11"/>
      <c r="O144" s="11"/>
      <c r="P144" s="11"/>
    </row>
    <row r="145" spans="1:16" x14ac:dyDescent="0.25">
      <c r="A145" s="696">
        <v>56111</v>
      </c>
      <c r="B145" s="696">
        <v>1536</v>
      </c>
      <c r="C145" s="696">
        <v>100</v>
      </c>
      <c r="D145" s="696">
        <v>2200</v>
      </c>
      <c r="F145" s="700" t="s">
        <v>1268</v>
      </c>
      <c r="G145" s="701">
        <v>4121.16</v>
      </c>
      <c r="H145" s="12" t="s">
        <v>997</v>
      </c>
      <c r="I145" s="12" t="s">
        <v>893</v>
      </c>
      <c r="J145" s="12" t="s">
        <v>906</v>
      </c>
      <c r="K145" s="12" t="s">
        <v>891</v>
      </c>
      <c r="L145" s="12"/>
      <c r="M145" s="11"/>
      <c r="N145" s="11"/>
      <c r="O145" s="11"/>
      <c r="P145" s="11"/>
    </row>
    <row r="146" spans="1:16" x14ac:dyDescent="0.25">
      <c r="A146" s="696">
        <v>56111</v>
      </c>
      <c r="B146" s="696">
        <v>1536</v>
      </c>
      <c r="C146" s="696">
        <v>100</v>
      </c>
      <c r="D146" s="696">
        <v>2300</v>
      </c>
      <c r="F146" s="700" t="s">
        <v>1268</v>
      </c>
      <c r="G146" s="701">
        <v>7451.32</v>
      </c>
      <c r="H146" s="12" t="s">
        <v>997</v>
      </c>
      <c r="I146" s="12" t="s">
        <v>893</v>
      </c>
      <c r="J146" s="12" t="s">
        <v>918</v>
      </c>
      <c r="K146" s="12" t="s">
        <v>891</v>
      </c>
      <c r="L146" s="12"/>
      <c r="M146" s="11"/>
      <c r="N146" s="11"/>
      <c r="O146" s="11"/>
      <c r="P146" s="11"/>
    </row>
    <row r="147" spans="1:16" x14ac:dyDescent="0.25">
      <c r="A147" s="696">
        <v>56111</v>
      </c>
      <c r="B147" s="696">
        <v>1536</v>
      </c>
      <c r="C147" s="696">
        <v>100</v>
      </c>
      <c r="D147" s="696">
        <v>2500</v>
      </c>
      <c r="F147" s="700" t="s">
        <v>1268</v>
      </c>
      <c r="G147" s="701">
        <v>64194.55</v>
      </c>
      <c r="H147" s="12" t="s">
        <v>997</v>
      </c>
      <c r="I147" s="12" t="s">
        <v>893</v>
      </c>
      <c r="J147" s="12" t="s">
        <v>926</v>
      </c>
      <c r="K147" s="12" t="s">
        <v>891</v>
      </c>
      <c r="L147" s="12"/>
      <c r="M147" s="11"/>
      <c r="N147" s="11"/>
      <c r="O147" s="11"/>
      <c r="P147" s="11"/>
    </row>
    <row r="148" spans="1:16" x14ac:dyDescent="0.25">
      <c r="A148" s="696">
        <v>56111</v>
      </c>
      <c r="B148" s="696">
        <v>1540</v>
      </c>
      <c r="C148" s="696">
        <v>100</v>
      </c>
      <c r="D148" s="696">
        <v>1000</v>
      </c>
      <c r="F148" s="700" t="s">
        <v>1268</v>
      </c>
      <c r="G148" s="701">
        <v>18759.38</v>
      </c>
      <c r="H148" s="12" t="s">
        <v>997</v>
      </c>
      <c r="I148" s="12" t="s">
        <v>893</v>
      </c>
      <c r="J148" s="12" t="s">
        <v>894</v>
      </c>
      <c r="K148" s="12" t="s">
        <v>891</v>
      </c>
      <c r="L148" s="12"/>
      <c r="M148" s="11"/>
      <c r="N148" s="11"/>
      <c r="O148" s="11"/>
      <c r="P148" s="11"/>
    </row>
    <row r="149" spans="1:16" x14ac:dyDescent="0.25">
      <c r="A149" s="696">
        <v>56111</v>
      </c>
      <c r="B149" s="696">
        <v>1540</v>
      </c>
      <c r="C149" s="696">
        <v>100</v>
      </c>
      <c r="D149" s="696">
        <v>2500</v>
      </c>
      <c r="F149" s="700" t="s">
        <v>1268</v>
      </c>
      <c r="G149" s="701">
        <v>39603.129999999997</v>
      </c>
      <c r="H149" s="12" t="s">
        <v>997</v>
      </c>
      <c r="I149" s="12" t="s">
        <v>893</v>
      </c>
      <c r="J149" s="12" t="s">
        <v>926</v>
      </c>
      <c r="K149" s="12" t="s">
        <v>891</v>
      </c>
      <c r="L149" s="12"/>
      <c r="M149" s="11"/>
      <c r="N149" s="11"/>
      <c r="O149" s="11"/>
      <c r="P149" s="11"/>
    </row>
    <row r="150" spans="1:16" x14ac:dyDescent="0.25">
      <c r="A150" s="696">
        <v>56112</v>
      </c>
      <c r="B150" s="696">
        <v>1000</v>
      </c>
      <c r="C150" s="696">
        <v>100</v>
      </c>
      <c r="D150" s="696">
        <v>1000</v>
      </c>
      <c r="F150" s="700" t="s">
        <v>1269</v>
      </c>
      <c r="G150" s="701">
        <v>3796710.61</v>
      </c>
      <c r="H150" s="12" t="s">
        <v>889</v>
      </c>
      <c r="I150" s="12" t="s">
        <v>893</v>
      </c>
      <c r="J150" s="12" t="s">
        <v>894</v>
      </c>
      <c r="K150" s="12" t="s">
        <v>891</v>
      </c>
      <c r="L150" s="12"/>
      <c r="M150" s="11"/>
      <c r="N150" s="11"/>
      <c r="O150" s="11"/>
      <c r="P150" s="11"/>
    </row>
    <row r="151" spans="1:16" x14ac:dyDescent="0.25">
      <c r="A151" s="696">
        <v>56112</v>
      </c>
      <c r="B151" s="696">
        <v>1000</v>
      </c>
      <c r="C151" s="696">
        <v>100</v>
      </c>
      <c r="D151" s="696">
        <v>2100</v>
      </c>
      <c r="F151" s="700" t="s">
        <v>1269</v>
      </c>
      <c r="G151" s="701">
        <v>61110.55</v>
      </c>
      <c r="H151" s="12" t="s">
        <v>889</v>
      </c>
      <c r="I151" s="12" t="s">
        <v>893</v>
      </c>
      <c r="J151" s="12" t="s">
        <v>902</v>
      </c>
      <c r="K151" s="12" t="s">
        <v>891</v>
      </c>
      <c r="L151" s="12"/>
      <c r="M151" s="11"/>
      <c r="N151" s="11"/>
      <c r="O151" s="11"/>
      <c r="P151" s="11"/>
    </row>
    <row r="152" spans="1:16" x14ac:dyDescent="0.25">
      <c r="A152" s="696">
        <v>56112</v>
      </c>
      <c r="B152" s="696">
        <v>1000</v>
      </c>
      <c r="C152" s="696">
        <v>100</v>
      </c>
      <c r="D152" s="696">
        <v>2200</v>
      </c>
      <c r="F152" s="700" t="s">
        <v>1269</v>
      </c>
      <c r="G152" s="701">
        <v>66168.22</v>
      </c>
      <c r="H152" s="12" t="s">
        <v>889</v>
      </c>
      <c r="I152" s="12" t="s">
        <v>893</v>
      </c>
      <c r="J152" s="12" t="s">
        <v>906</v>
      </c>
      <c r="K152" s="12" t="s">
        <v>891</v>
      </c>
      <c r="L152" s="12"/>
      <c r="M152" s="11"/>
      <c r="N152" s="11"/>
      <c r="O152" s="11"/>
      <c r="P152" s="11"/>
    </row>
    <row r="153" spans="1:16" x14ac:dyDescent="0.25">
      <c r="A153" s="696">
        <v>56112</v>
      </c>
      <c r="B153" s="696">
        <v>1000</v>
      </c>
      <c r="C153" s="696">
        <v>100</v>
      </c>
      <c r="D153" s="696">
        <v>2500</v>
      </c>
      <c r="F153" s="700" t="s">
        <v>1269</v>
      </c>
      <c r="G153" s="701">
        <v>9679.09</v>
      </c>
      <c r="H153" s="12" t="s">
        <v>889</v>
      </c>
      <c r="I153" s="12" t="s">
        <v>893</v>
      </c>
      <c r="J153" s="12" t="s">
        <v>926</v>
      </c>
      <c r="K153" s="12" t="s">
        <v>891</v>
      </c>
      <c r="L153" s="12"/>
      <c r="M153" s="11"/>
      <c r="N153" s="11"/>
      <c r="O153" s="11"/>
      <c r="P153" s="11"/>
    </row>
    <row r="154" spans="1:16" x14ac:dyDescent="0.25">
      <c r="A154" s="696">
        <v>56112</v>
      </c>
      <c r="B154" s="696">
        <v>1000</v>
      </c>
      <c r="C154" s="696">
        <v>200</v>
      </c>
      <c r="D154" s="696">
        <v>1000</v>
      </c>
      <c r="F154" s="700" t="s">
        <v>1269</v>
      </c>
      <c r="G154" s="701">
        <v>523507.82</v>
      </c>
      <c r="H154" s="12" t="s">
        <v>889</v>
      </c>
      <c r="I154" s="12" t="s">
        <v>897</v>
      </c>
      <c r="J154" s="12" t="s">
        <v>894</v>
      </c>
      <c r="K154" s="12" t="s">
        <v>891</v>
      </c>
      <c r="L154" s="12"/>
      <c r="M154" s="11"/>
      <c r="N154" s="11"/>
      <c r="O154" s="11"/>
      <c r="P154" s="11"/>
    </row>
    <row r="155" spans="1:16" x14ac:dyDescent="0.25">
      <c r="A155" s="696">
        <v>56112</v>
      </c>
      <c r="B155" s="696">
        <v>1000</v>
      </c>
      <c r="C155" s="696">
        <v>200</v>
      </c>
      <c r="D155" s="696">
        <v>2500</v>
      </c>
      <c r="F155" s="700" t="s">
        <v>1269</v>
      </c>
      <c r="G155" s="701">
        <v>5317.74</v>
      </c>
      <c r="H155" s="12" t="s">
        <v>889</v>
      </c>
      <c r="I155" s="12" t="s">
        <v>897</v>
      </c>
      <c r="J155" s="12" t="s">
        <v>926</v>
      </c>
      <c r="K155" s="12" t="s">
        <v>891</v>
      </c>
      <c r="L155" s="12"/>
      <c r="M155" s="11"/>
      <c r="N155" s="11"/>
      <c r="O155" s="11"/>
      <c r="P155" s="11"/>
    </row>
    <row r="156" spans="1:16" x14ac:dyDescent="0.25">
      <c r="A156" s="696">
        <v>56112</v>
      </c>
      <c r="B156" s="696">
        <v>1000</v>
      </c>
      <c r="C156" s="696">
        <v>240</v>
      </c>
      <c r="D156" s="696">
        <v>1000</v>
      </c>
      <c r="F156" s="700" t="s">
        <v>1269</v>
      </c>
      <c r="G156" s="701">
        <v>28022.73</v>
      </c>
      <c r="H156" s="12" t="s">
        <v>889</v>
      </c>
      <c r="I156" s="12" t="s">
        <v>897</v>
      </c>
      <c r="J156" s="12" t="s">
        <v>894</v>
      </c>
      <c r="K156" s="12" t="s">
        <v>891</v>
      </c>
      <c r="L156" s="12"/>
      <c r="M156" s="11"/>
      <c r="N156" s="11"/>
      <c r="O156" s="11"/>
      <c r="P156" s="11"/>
    </row>
    <row r="157" spans="1:16" x14ac:dyDescent="0.25">
      <c r="A157" s="696">
        <v>56112</v>
      </c>
      <c r="B157" s="696">
        <v>1000</v>
      </c>
      <c r="C157" s="696">
        <v>260</v>
      </c>
      <c r="D157" s="696">
        <v>1000</v>
      </c>
      <c r="F157" s="700" t="s">
        <v>1269</v>
      </c>
      <c r="G157" s="701">
        <v>63456.13</v>
      </c>
      <c r="H157" s="12" t="s">
        <v>896</v>
      </c>
      <c r="I157" s="12" t="s">
        <v>901</v>
      </c>
      <c r="J157" s="12" t="s">
        <v>894</v>
      </c>
      <c r="K157" s="12" t="s">
        <v>891</v>
      </c>
      <c r="L157" s="12"/>
      <c r="M157" s="11"/>
      <c r="N157" s="11"/>
      <c r="O157" s="11"/>
      <c r="P157" s="11"/>
    </row>
    <row r="158" spans="1:16" x14ac:dyDescent="0.25">
      <c r="A158" s="696">
        <v>56112</v>
      </c>
      <c r="B158" s="696">
        <v>1000</v>
      </c>
      <c r="C158" s="696">
        <v>550</v>
      </c>
      <c r="D158" s="696">
        <v>1000</v>
      </c>
      <c r="F158" s="700" t="s">
        <v>1269</v>
      </c>
      <c r="G158" s="701">
        <v>62504.45</v>
      </c>
      <c r="H158" s="12" t="s">
        <v>889</v>
      </c>
      <c r="I158" s="12" t="s">
        <v>933</v>
      </c>
      <c r="J158" s="12" t="s">
        <v>894</v>
      </c>
      <c r="K158" s="12" t="s">
        <v>891</v>
      </c>
      <c r="L158" s="12"/>
      <c r="M158" s="11"/>
      <c r="N158" s="11"/>
      <c r="O158" s="11"/>
      <c r="P158" s="11"/>
    </row>
    <row r="159" spans="1:16" x14ac:dyDescent="0.25">
      <c r="A159" s="696">
        <v>56112</v>
      </c>
      <c r="B159" s="696">
        <v>1012</v>
      </c>
      <c r="C159" s="696">
        <v>100</v>
      </c>
      <c r="D159" s="696">
        <v>1000</v>
      </c>
      <c r="F159" s="700" t="s">
        <v>1269</v>
      </c>
      <c r="G159" s="701">
        <v>2402438.13</v>
      </c>
      <c r="H159" s="12" t="s">
        <v>890</v>
      </c>
      <c r="I159" s="12" t="s">
        <v>893</v>
      </c>
      <c r="J159" s="12" t="s">
        <v>894</v>
      </c>
      <c r="K159" s="12" t="s">
        <v>891</v>
      </c>
      <c r="L159" s="12"/>
      <c r="M159" s="11"/>
      <c r="N159" s="11"/>
      <c r="O159" s="11"/>
      <c r="P159" s="11"/>
    </row>
    <row r="160" spans="1:16" x14ac:dyDescent="0.25">
      <c r="A160" s="696">
        <v>56112</v>
      </c>
      <c r="B160" s="696">
        <v>1012</v>
      </c>
      <c r="C160" s="696">
        <v>100</v>
      </c>
      <c r="D160" s="696">
        <v>2100</v>
      </c>
      <c r="F160" s="700" t="s">
        <v>1269</v>
      </c>
      <c r="G160" s="701">
        <v>4830</v>
      </c>
      <c r="H160" s="12" t="s">
        <v>890</v>
      </c>
      <c r="I160" s="12" t="s">
        <v>893</v>
      </c>
      <c r="J160" s="12" t="s">
        <v>902</v>
      </c>
      <c r="K160" s="12" t="s">
        <v>891</v>
      </c>
      <c r="L160" s="12"/>
      <c r="M160" s="11"/>
      <c r="N160" s="11"/>
      <c r="O160" s="11"/>
      <c r="P160" s="11"/>
    </row>
    <row r="161" spans="1:16" x14ac:dyDescent="0.25">
      <c r="A161" s="696">
        <v>56112</v>
      </c>
      <c r="B161" s="696">
        <v>1012</v>
      </c>
      <c r="C161" s="696">
        <v>100</v>
      </c>
      <c r="D161" s="696">
        <v>2200</v>
      </c>
      <c r="F161" s="700" t="s">
        <v>1269</v>
      </c>
      <c r="G161" s="701">
        <v>5000</v>
      </c>
      <c r="H161" s="12" t="s">
        <v>890</v>
      </c>
      <c r="I161" s="12" t="s">
        <v>893</v>
      </c>
      <c r="J161" s="12" t="s">
        <v>906</v>
      </c>
      <c r="K161" s="12" t="s">
        <v>891</v>
      </c>
      <c r="L161" s="12"/>
      <c r="M161" s="11"/>
      <c r="N161" s="11"/>
      <c r="O161" s="11"/>
      <c r="P161" s="11"/>
    </row>
    <row r="162" spans="1:16" x14ac:dyDescent="0.25">
      <c r="A162" s="696">
        <v>56112</v>
      </c>
      <c r="B162" s="696">
        <v>1012</v>
      </c>
      <c r="C162" s="696">
        <v>200</v>
      </c>
      <c r="D162" s="696">
        <v>1000</v>
      </c>
      <c r="F162" s="700" t="s">
        <v>1269</v>
      </c>
      <c r="G162" s="701">
        <v>53160</v>
      </c>
      <c r="H162" s="12" t="s">
        <v>890</v>
      </c>
      <c r="I162" s="12" t="s">
        <v>897</v>
      </c>
      <c r="J162" s="12" t="s">
        <v>894</v>
      </c>
      <c r="K162" s="12" t="s">
        <v>891</v>
      </c>
      <c r="L162" s="12"/>
      <c r="M162" s="11"/>
      <c r="N162" s="11"/>
      <c r="O162" s="11"/>
      <c r="P162" s="11"/>
    </row>
    <row r="163" spans="1:16" x14ac:dyDescent="0.25">
      <c r="A163" s="696">
        <v>56112</v>
      </c>
      <c r="B163" s="696">
        <v>1012</v>
      </c>
      <c r="C163" s="696">
        <v>260</v>
      </c>
      <c r="D163" s="696">
        <v>1000</v>
      </c>
      <c r="F163" s="700" t="s">
        <v>1269</v>
      </c>
      <c r="G163" s="701">
        <v>4830</v>
      </c>
      <c r="H163" s="12" t="s">
        <v>890</v>
      </c>
      <c r="I163" s="12" t="s">
        <v>901</v>
      </c>
      <c r="J163" s="12" t="s">
        <v>894</v>
      </c>
      <c r="K163" s="12" t="s">
        <v>891</v>
      </c>
      <c r="L163" s="12"/>
      <c r="M163" s="11"/>
      <c r="N163" s="11"/>
      <c r="O163" s="11"/>
      <c r="P163" s="11"/>
    </row>
    <row r="164" spans="1:16" x14ac:dyDescent="0.25">
      <c r="A164" s="696">
        <v>56112</v>
      </c>
      <c r="B164" s="696">
        <v>1220</v>
      </c>
      <c r="C164" s="696">
        <v>200</v>
      </c>
      <c r="D164" s="696">
        <v>1000</v>
      </c>
      <c r="F164" s="700" t="s">
        <v>1269</v>
      </c>
      <c r="G164" s="701">
        <v>36900</v>
      </c>
      <c r="H164" s="12" t="s">
        <v>932</v>
      </c>
      <c r="I164" s="12" t="s">
        <v>897</v>
      </c>
      <c r="J164" s="12" t="s">
        <v>894</v>
      </c>
      <c r="K164" s="12" t="s">
        <v>891</v>
      </c>
      <c r="L164" s="12"/>
      <c r="M164" s="11"/>
      <c r="N164" s="11"/>
      <c r="O164" s="11"/>
      <c r="P164" s="11"/>
    </row>
    <row r="165" spans="1:16" x14ac:dyDescent="0.25">
      <c r="A165" s="696">
        <v>56121</v>
      </c>
      <c r="B165" s="696">
        <v>1322</v>
      </c>
      <c r="C165" s="696">
        <v>100</v>
      </c>
      <c r="D165" s="696">
        <v>2100</v>
      </c>
      <c r="F165" s="700" t="s">
        <v>1274</v>
      </c>
      <c r="G165" s="701">
        <v>36050</v>
      </c>
      <c r="H165" s="12" t="s">
        <v>968</v>
      </c>
      <c r="I165" s="12" t="s">
        <v>893</v>
      </c>
      <c r="J165" s="12" t="s">
        <v>902</v>
      </c>
      <c r="K165" s="12" t="s">
        <v>891</v>
      </c>
      <c r="L165" s="12"/>
      <c r="M165" s="11"/>
      <c r="N165" s="11"/>
      <c r="O165" s="11"/>
      <c r="P165" s="11"/>
    </row>
    <row r="166" spans="1:16" x14ac:dyDescent="0.25">
      <c r="A166" s="696">
        <v>56112</v>
      </c>
      <c r="B166" s="696">
        <v>1531</v>
      </c>
      <c r="C166" s="696">
        <v>100</v>
      </c>
      <c r="D166" s="696">
        <v>1000</v>
      </c>
      <c r="F166" s="700" t="s">
        <v>1269</v>
      </c>
      <c r="G166" s="701">
        <v>0</v>
      </c>
      <c r="H166" s="12" t="s">
        <v>997</v>
      </c>
      <c r="I166" s="12" t="s">
        <v>893</v>
      </c>
      <c r="J166" s="12" t="s">
        <v>894</v>
      </c>
      <c r="K166" s="12" t="s">
        <v>891</v>
      </c>
      <c r="L166" s="12"/>
      <c r="M166" s="11"/>
      <c r="N166" s="11"/>
      <c r="O166" s="11"/>
      <c r="P166" s="11"/>
    </row>
    <row r="167" spans="1:16" x14ac:dyDescent="0.25">
      <c r="A167" s="696">
        <v>56112</v>
      </c>
      <c r="B167" s="696">
        <v>1531</v>
      </c>
      <c r="C167" s="696">
        <v>100</v>
      </c>
      <c r="D167" s="696">
        <v>2200</v>
      </c>
      <c r="F167" s="700" t="s">
        <v>1269</v>
      </c>
      <c r="G167" s="701">
        <v>55464.5</v>
      </c>
      <c r="H167" s="12" t="s">
        <v>997</v>
      </c>
      <c r="I167" s="12" t="s">
        <v>893</v>
      </c>
      <c r="J167" s="12" t="s">
        <v>906</v>
      </c>
      <c r="K167" s="12" t="s">
        <v>891</v>
      </c>
      <c r="L167" s="12"/>
      <c r="M167" s="11"/>
      <c r="N167" s="11"/>
      <c r="O167" s="11"/>
      <c r="P167" s="11"/>
    </row>
    <row r="168" spans="1:16" x14ac:dyDescent="0.25">
      <c r="A168" s="696">
        <v>56113</v>
      </c>
      <c r="B168" s="696">
        <v>1000</v>
      </c>
      <c r="C168" s="696">
        <v>100</v>
      </c>
      <c r="D168" s="696">
        <v>2500</v>
      </c>
      <c r="F168" s="700" t="s">
        <v>1270</v>
      </c>
      <c r="G168" s="701">
        <v>-969.18</v>
      </c>
      <c r="H168" s="12" t="s">
        <v>889</v>
      </c>
      <c r="I168" s="12" t="s">
        <v>893</v>
      </c>
      <c r="J168" s="12" t="s">
        <v>926</v>
      </c>
      <c r="K168" s="12" t="s">
        <v>891</v>
      </c>
      <c r="L168" s="12"/>
      <c r="M168" s="11"/>
      <c r="N168" s="11"/>
      <c r="O168" s="11"/>
      <c r="P168" s="11"/>
    </row>
    <row r="169" spans="1:16" x14ac:dyDescent="0.25">
      <c r="A169" s="696">
        <v>56114</v>
      </c>
      <c r="B169" s="696">
        <v>1000</v>
      </c>
      <c r="C169" s="696">
        <v>100</v>
      </c>
      <c r="D169" s="696">
        <v>1000</v>
      </c>
      <c r="F169" s="700" t="s">
        <v>1271</v>
      </c>
      <c r="G169" s="701">
        <v>49129.23</v>
      </c>
      <c r="H169" s="12" t="s">
        <v>889</v>
      </c>
      <c r="I169" s="12" t="s">
        <v>893</v>
      </c>
      <c r="J169" s="12" t="s">
        <v>894</v>
      </c>
      <c r="K169" s="12" t="s">
        <v>891</v>
      </c>
      <c r="L169" s="12"/>
      <c r="M169" s="11"/>
      <c r="N169" s="11"/>
      <c r="O169" s="11"/>
      <c r="P169" s="11"/>
    </row>
    <row r="170" spans="1:16" x14ac:dyDescent="0.25">
      <c r="A170" s="696">
        <v>56114</v>
      </c>
      <c r="B170" s="696">
        <v>1000</v>
      </c>
      <c r="C170" s="696">
        <v>100</v>
      </c>
      <c r="D170" s="696">
        <v>2100</v>
      </c>
      <c r="F170" s="700" t="s">
        <v>1271</v>
      </c>
      <c r="G170" s="701">
        <v>7282.1</v>
      </c>
      <c r="H170" s="12" t="s">
        <v>889</v>
      </c>
      <c r="I170" s="12" t="s">
        <v>893</v>
      </c>
      <c r="J170" s="12" t="s">
        <v>902</v>
      </c>
      <c r="K170" s="12" t="s">
        <v>891</v>
      </c>
      <c r="L170" s="12"/>
      <c r="M170" s="11"/>
      <c r="N170" s="11"/>
      <c r="O170" s="11"/>
      <c r="P170" s="11"/>
    </row>
    <row r="171" spans="1:16" x14ac:dyDescent="0.25">
      <c r="A171" s="696">
        <v>56116</v>
      </c>
      <c r="B171" s="696">
        <v>1000</v>
      </c>
      <c r="C171" s="696">
        <v>100</v>
      </c>
      <c r="D171" s="696">
        <v>1000</v>
      </c>
      <c r="F171" s="700" t="s">
        <v>1272</v>
      </c>
      <c r="G171" s="701">
        <v>21870</v>
      </c>
      <c r="H171" s="12" t="s">
        <v>889</v>
      </c>
      <c r="I171" s="12" t="s">
        <v>893</v>
      </c>
      <c r="J171" s="12" t="s">
        <v>894</v>
      </c>
      <c r="K171" s="12" t="s">
        <v>891</v>
      </c>
      <c r="L171" s="12"/>
      <c r="M171" s="11"/>
      <c r="N171" s="11"/>
      <c r="O171" s="11"/>
      <c r="P171" s="11"/>
    </row>
    <row r="172" spans="1:16" x14ac:dyDescent="0.25">
      <c r="A172" s="696">
        <v>56111</v>
      </c>
      <c r="B172" s="696">
        <v>1228</v>
      </c>
      <c r="C172" s="696">
        <v>200</v>
      </c>
      <c r="D172" s="696">
        <v>2200</v>
      </c>
      <c r="F172" s="700" t="s">
        <v>1268</v>
      </c>
      <c r="G172" s="701">
        <v>0</v>
      </c>
      <c r="H172" s="12" t="s">
        <v>940</v>
      </c>
      <c r="I172" s="12" t="s">
        <v>897</v>
      </c>
      <c r="J172" s="12" t="s">
        <v>906</v>
      </c>
      <c r="K172" s="12" t="s">
        <v>891</v>
      </c>
      <c r="L172" s="12"/>
      <c r="M172" s="11"/>
      <c r="N172" s="11"/>
      <c r="O172" s="11"/>
      <c r="P172" s="11"/>
    </row>
    <row r="173" spans="1:16" x14ac:dyDescent="0.25">
      <c r="A173" s="696">
        <v>56116</v>
      </c>
      <c r="B173" s="696">
        <v>1531</v>
      </c>
      <c r="C173" s="696">
        <v>100</v>
      </c>
      <c r="D173" s="696">
        <v>2200</v>
      </c>
      <c r="F173" s="700" t="s">
        <v>1272</v>
      </c>
      <c r="G173" s="701">
        <v>2180</v>
      </c>
      <c r="H173" s="12" t="s">
        <v>997</v>
      </c>
      <c r="I173" s="12" t="s">
        <v>893</v>
      </c>
      <c r="J173" s="12" t="s">
        <v>906</v>
      </c>
      <c r="K173" s="12" t="s">
        <v>891</v>
      </c>
      <c r="L173" s="12"/>
      <c r="M173" s="11"/>
      <c r="N173" s="11"/>
      <c r="O173" s="11"/>
      <c r="P173" s="11"/>
    </row>
    <row r="174" spans="1:16" x14ac:dyDescent="0.25">
      <c r="A174" s="696">
        <v>56117</v>
      </c>
      <c r="B174" s="696">
        <v>1000</v>
      </c>
      <c r="C174" s="696">
        <v>100</v>
      </c>
      <c r="D174" s="696">
        <v>1000</v>
      </c>
      <c r="F174" s="700" t="s">
        <v>1273</v>
      </c>
      <c r="G174" s="701">
        <v>714984.03</v>
      </c>
      <c r="H174" s="12" t="s">
        <v>889</v>
      </c>
      <c r="I174" s="12" t="s">
        <v>893</v>
      </c>
      <c r="J174" s="12" t="s">
        <v>894</v>
      </c>
      <c r="K174" s="12" t="s">
        <v>891</v>
      </c>
      <c r="L174" s="12"/>
      <c r="M174" s="11"/>
      <c r="N174" s="11"/>
      <c r="O174" s="11"/>
      <c r="P174" s="11"/>
    </row>
    <row r="175" spans="1:16" x14ac:dyDescent="0.25">
      <c r="A175" s="696">
        <v>56117</v>
      </c>
      <c r="B175" s="696">
        <v>1000</v>
      </c>
      <c r="C175" s="696">
        <v>100</v>
      </c>
      <c r="D175" s="696">
        <v>2500</v>
      </c>
      <c r="F175" s="700" t="s">
        <v>1273</v>
      </c>
      <c r="G175" s="701">
        <v>5873.43</v>
      </c>
      <c r="H175" s="12" t="s">
        <v>889</v>
      </c>
      <c r="I175" s="12" t="s">
        <v>893</v>
      </c>
      <c r="J175" s="12" t="s">
        <v>926</v>
      </c>
      <c r="K175" s="12" t="s">
        <v>891</v>
      </c>
      <c r="L175" s="12"/>
      <c r="M175" s="11"/>
      <c r="N175" s="11"/>
      <c r="O175" s="11"/>
      <c r="P175" s="11"/>
    </row>
    <row r="176" spans="1:16" x14ac:dyDescent="0.25">
      <c r="A176" s="696">
        <v>56117</v>
      </c>
      <c r="B176" s="696">
        <v>1012</v>
      </c>
      <c r="C176" s="696">
        <v>100</v>
      </c>
      <c r="D176" s="696">
        <v>1000</v>
      </c>
      <c r="F176" s="700" t="s">
        <v>1273</v>
      </c>
      <c r="G176" s="701">
        <v>2415</v>
      </c>
      <c r="H176" s="12" t="s">
        <v>890</v>
      </c>
      <c r="I176" s="12" t="s">
        <v>893</v>
      </c>
      <c r="J176" s="12" t="s">
        <v>894</v>
      </c>
      <c r="K176" s="12" t="s">
        <v>891</v>
      </c>
      <c r="L176" s="12"/>
      <c r="M176" s="11"/>
      <c r="N176" s="11"/>
      <c r="O176" s="11"/>
      <c r="P176" s="11"/>
    </row>
    <row r="177" spans="1:16" x14ac:dyDescent="0.25">
      <c r="A177" s="696">
        <v>56111</v>
      </c>
      <c r="B177" s="696">
        <v>1322</v>
      </c>
      <c r="C177" s="696">
        <v>100</v>
      </c>
      <c r="D177" s="696">
        <v>2200</v>
      </c>
      <c r="F177" s="700" t="s">
        <v>1268</v>
      </c>
      <c r="G177" s="701">
        <v>82068.36</v>
      </c>
      <c r="H177" s="12" t="s">
        <v>968</v>
      </c>
      <c r="I177" s="12" t="s">
        <v>893</v>
      </c>
      <c r="J177" s="12" t="s">
        <v>906</v>
      </c>
      <c r="K177" s="12" t="s">
        <v>891</v>
      </c>
      <c r="L177" s="12"/>
      <c r="M177" s="11"/>
      <c r="N177" s="11"/>
      <c r="O177" s="11"/>
      <c r="P177" s="11"/>
    </row>
    <row r="178" spans="1:16" x14ac:dyDescent="0.25">
      <c r="A178" s="696">
        <v>56121</v>
      </c>
      <c r="B178" s="696">
        <v>1000</v>
      </c>
      <c r="C178" s="696">
        <v>100</v>
      </c>
      <c r="D178" s="696">
        <v>1000</v>
      </c>
      <c r="F178" s="700" t="s">
        <v>1274</v>
      </c>
      <c r="G178" s="701">
        <v>10396.11</v>
      </c>
      <c r="H178" s="12" t="s">
        <v>889</v>
      </c>
      <c r="I178" s="12" t="s">
        <v>893</v>
      </c>
      <c r="J178" s="12" t="s">
        <v>894</v>
      </c>
      <c r="K178" s="12" t="s">
        <v>891</v>
      </c>
      <c r="L178" s="12"/>
      <c r="M178" s="11"/>
      <c r="N178" s="11"/>
      <c r="O178" s="11"/>
      <c r="P178" s="11"/>
    </row>
    <row r="179" spans="1:16" x14ac:dyDescent="0.25">
      <c r="A179" s="696">
        <v>56121</v>
      </c>
      <c r="B179" s="696">
        <v>1000</v>
      </c>
      <c r="C179" s="696">
        <v>100</v>
      </c>
      <c r="D179" s="696">
        <v>2100</v>
      </c>
      <c r="F179" s="700" t="s">
        <v>1274</v>
      </c>
      <c r="G179" s="701">
        <v>28285.81</v>
      </c>
      <c r="H179" s="12" t="s">
        <v>889</v>
      </c>
      <c r="I179" s="12" t="s">
        <v>893</v>
      </c>
      <c r="J179" s="12" t="s">
        <v>902</v>
      </c>
      <c r="K179" s="12" t="s">
        <v>891</v>
      </c>
      <c r="L179" s="12"/>
      <c r="M179" s="11"/>
      <c r="N179" s="11"/>
      <c r="O179" s="11"/>
      <c r="P179" s="11"/>
    </row>
    <row r="180" spans="1:16" x14ac:dyDescent="0.25">
      <c r="A180" s="696">
        <v>56121</v>
      </c>
      <c r="B180" s="696">
        <v>1000</v>
      </c>
      <c r="C180" s="696">
        <v>100</v>
      </c>
      <c r="D180" s="696">
        <v>2110</v>
      </c>
      <c r="F180" s="700" t="s">
        <v>1274</v>
      </c>
      <c r="G180" s="701">
        <v>513.67999999999995</v>
      </c>
      <c r="H180" s="12" t="s">
        <v>889</v>
      </c>
      <c r="I180" s="12" t="s">
        <v>893</v>
      </c>
      <c r="J180" s="12" t="s">
        <v>902</v>
      </c>
      <c r="K180" s="12" t="s">
        <v>891</v>
      </c>
      <c r="L180" s="12"/>
      <c r="M180" s="11"/>
      <c r="N180" s="11"/>
      <c r="O180" s="11"/>
      <c r="P180" s="11"/>
    </row>
    <row r="181" spans="1:16" x14ac:dyDescent="0.25">
      <c r="A181" s="696">
        <v>56121</v>
      </c>
      <c r="B181" s="696">
        <v>1000</v>
      </c>
      <c r="C181" s="696">
        <v>100</v>
      </c>
      <c r="D181" s="696">
        <v>2200</v>
      </c>
      <c r="F181" s="700" t="s">
        <v>1274</v>
      </c>
      <c r="G181" s="701">
        <v>13557.1</v>
      </c>
      <c r="H181" s="12" t="s">
        <v>889</v>
      </c>
      <c r="I181" s="12" t="s">
        <v>893</v>
      </c>
      <c r="J181" s="12" t="s">
        <v>906</v>
      </c>
      <c r="K181" s="12" t="s">
        <v>891</v>
      </c>
      <c r="L181" s="12"/>
      <c r="M181" s="11"/>
      <c r="N181" s="11"/>
      <c r="O181" s="11"/>
      <c r="P181" s="11"/>
    </row>
    <row r="182" spans="1:16" x14ac:dyDescent="0.25">
      <c r="A182" s="696">
        <v>56121</v>
      </c>
      <c r="B182" s="696">
        <v>1000</v>
      </c>
      <c r="C182" s="696">
        <v>100</v>
      </c>
      <c r="D182" s="696">
        <v>2400</v>
      </c>
      <c r="F182" s="700" t="s">
        <v>1274</v>
      </c>
      <c r="G182" s="701">
        <v>16368.4</v>
      </c>
      <c r="H182" s="12" t="s">
        <v>889</v>
      </c>
      <c r="I182" s="12" t="s">
        <v>893</v>
      </c>
      <c r="J182" s="12" t="s">
        <v>922</v>
      </c>
      <c r="K182" s="12" t="s">
        <v>891</v>
      </c>
      <c r="L182" s="12"/>
      <c r="M182" s="11"/>
      <c r="N182" s="11"/>
      <c r="O182" s="11"/>
      <c r="P182" s="11"/>
    </row>
    <row r="183" spans="1:16" x14ac:dyDescent="0.25">
      <c r="A183" s="696">
        <v>56121</v>
      </c>
      <c r="B183" s="696">
        <v>1000</v>
      </c>
      <c r="C183" s="696">
        <v>100</v>
      </c>
      <c r="D183" s="696">
        <v>2500</v>
      </c>
      <c r="F183" s="700" t="s">
        <v>1274</v>
      </c>
      <c r="G183" s="701">
        <v>37089.43</v>
      </c>
      <c r="H183" s="12" t="s">
        <v>889</v>
      </c>
      <c r="I183" s="12" t="s">
        <v>893</v>
      </c>
      <c r="J183" s="12" t="s">
        <v>926</v>
      </c>
      <c r="K183" s="12" t="s">
        <v>891</v>
      </c>
      <c r="L183" s="12"/>
      <c r="M183" s="11"/>
      <c r="N183" s="11"/>
      <c r="O183" s="11"/>
      <c r="P183" s="11"/>
    </row>
    <row r="184" spans="1:16" x14ac:dyDescent="0.25">
      <c r="A184" s="696">
        <v>56121</v>
      </c>
      <c r="B184" s="696">
        <v>1000</v>
      </c>
      <c r="C184" s="696">
        <v>200</v>
      </c>
      <c r="D184" s="696">
        <v>1000</v>
      </c>
      <c r="F184" s="700" t="s">
        <v>1274</v>
      </c>
      <c r="G184" s="701">
        <v>770.52</v>
      </c>
      <c r="H184" s="12" t="s">
        <v>889</v>
      </c>
      <c r="I184" s="12" t="s">
        <v>897</v>
      </c>
      <c r="J184" s="12" t="s">
        <v>894</v>
      </c>
      <c r="K184" s="12" t="s">
        <v>891</v>
      </c>
      <c r="L184" s="12"/>
      <c r="M184" s="11"/>
      <c r="N184" s="11"/>
      <c r="O184" s="11"/>
      <c r="P184" s="11"/>
    </row>
    <row r="185" spans="1:16" x14ac:dyDescent="0.25">
      <c r="A185" s="696">
        <v>56121</v>
      </c>
      <c r="B185" s="696">
        <v>1000</v>
      </c>
      <c r="C185" s="696">
        <v>200</v>
      </c>
      <c r="D185" s="696">
        <v>2100</v>
      </c>
      <c r="F185" s="700" t="s">
        <v>1274</v>
      </c>
      <c r="G185" s="701">
        <v>15750</v>
      </c>
      <c r="H185" s="12" t="s">
        <v>889</v>
      </c>
      <c r="I185" s="12" t="s">
        <v>897</v>
      </c>
      <c r="J185" s="12" t="s">
        <v>902</v>
      </c>
      <c r="K185" s="12" t="s">
        <v>891</v>
      </c>
      <c r="L185" s="12"/>
      <c r="M185" s="11"/>
      <c r="N185" s="11"/>
      <c r="O185" s="11"/>
      <c r="P185" s="11"/>
    </row>
    <row r="186" spans="1:16" x14ac:dyDescent="0.25">
      <c r="A186" s="696">
        <v>56121</v>
      </c>
      <c r="B186" s="696">
        <v>1220</v>
      </c>
      <c r="C186" s="696">
        <v>200</v>
      </c>
      <c r="D186" s="696">
        <v>2100</v>
      </c>
      <c r="F186" s="700" t="s">
        <v>1274</v>
      </c>
      <c r="G186" s="701">
        <v>0</v>
      </c>
      <c r="H186" s="12" t="s">
        <v>932</v>
      </c>
      <c r="I186" s="12" t="s">
        <v>897</v>
      </c>
      <c r="J186" s="12" t="s">
        <v>902</v>
      </c>
      <c r="K186" s="12" t="s">
        <v>891</v>
      </c>
      <c r="L186" s="12"/>
      <c r="M186" s="11"/>
      <c r="N186" s="11"/>
      <c r="O186" s="11"/>
      <c r="P186" s="11"/>
    </row>
    <row r="187" spans="1:16" x14ac:dyDescent="0.25">
      <c r="A187" s="696">
        <v>56116</v>
      </c>
      <c r="B187" s="696">
        <v>1313</v>
      </c>
      <c r="C187" s="696">
        <v>100</v>
      </c>
      <c r="D187" s="696">
        <v>2200</v>
      </c>
      <c r="F187" s="700" t="s">
        <v>1272</v>
      </c>
      <c r="G187" s="701">
        <v>0</v>
      </c>
      <c r="H187" s="12" t="s">
        <v>968</v>
      </c>
      <c r="I187" s="12" t="s">
        <v>893</v>
      </c>
      <c r="J187" s="12" t="s">
        <v>906</v>
      </c>
      <c r="K187" s="12" t="s">
        <v>891</v>
      </c>
      <c r="L187" s="12"/>
      <c r="M187" s="11"/>
      <c r="N187" s="11"/>
      <c r="O187" s="11"/>
      <c r="P187" s="11"/>
    </row>
    <row r="188" spans="1:16" x14ac:dyDescent="0.25">
      <c r="A188" s="696">
        <v>56121</v>
      </c>
      <c r="B188" s="696">
        <v>1322</v>
      </c>
      <c r="C188" s="696">
        <v>100</v>
      </c>
      <c r="D188" s="696">
        <v>2200</v>
      </c>
      <c r="F188" s="700" t="s">
        <v>1274</v>
      </c>
      <c r="G188" s="701">
        <v>8150</v>
      </c>
      <c r="H188" s="12" t="s">
        <v>968</v>
      </c>
      <c r="I188" s="12" t="s">
        <v>893</v>
      </c>
      <c r="J188" s="12" t="s">
        <v>906</v>
      </c>
      <c r="K188" s="12" t="s">
        <v>891</v>
      </c>
      <c r="L188" s="12"/>
      <c r="M188" s="11"/>
      <c r="N188" s="11"/>
      <c r="O188" s="11"/>
      <c r="P188" s="11"/>
    </row>
    <row r="189" spans="1:16" x14ac:dyDescent="0.25">
      <c r="A189" s="696">
        <v>56111</v>
      </c>
      <c r="B189" s="696">
        <v>1322</v>
      </c>
      <c r="C189" s="696">
        <v>100</v>
      </c>
      <c r="D189" s="696">
        <v>2400</v>
      </c>
      <c r="F189" s="700" t="s">
        <v>1268</v>
      </c>
      <c r="G189" s="701">
        <v>87772.49</v>
      </c>
      <c r="H189" s="12" t="s">
        <v>968</v>
      </c>
      <c r="I189" s="12" t="s">
        <v>893</v>
      </c>
      <c r="J189" s="12" t="s">
        <v>922</v>
      </c>
      <c r="K189" s="12" t="s">
        <v>891</v>
      </c>
      <c r="L189" s="12"/>
      <c r="M189" s="11"/>
      <c r="N189" s="11"/>
      <c r="O189" s="11"/>
      <c r="P189" s="11"/>
    </row>
    <row r="190" spans="1:16" x14ac:dyDescent="0.25">
      <c r="A190" s="696">
        <v>56121</v>
      </c>
      <c r="B190" s="696">
        <v>1322</v>
      </c>
      <c r="C190" s="696">
        <v>100</v>
      </c>
      <c r="D190" s="696">
        <v>2400</v>
      </c>
      <c r="F190" s="700" t="s">
        <v>1274</v>
      </c>
      <c r="G190" s="701">
        <v>6000</v>
      </c>
      <c r="H190" s="12" t="s">
        <v>968</v>
      </c>
      <c r="I190" s="12" t="s">
        <v>893</v>
      </c>
      <c r="J190" s="12" t="s">
        <v>922</v>
      </c>
      <c r="K190" s="12" t="s">
        <v>891</v>
      </c>
      <c r="L190" s="12"/>
      <c r="M190" s="11"/>
      <c r="N190" s="11"/>
      <c r="O190" s="11"/>
      <c r="P190" s="11"/>
    </row>
    <row r="191" spans="1:16" x14ac:dyDescent="0.25">
      <c r="A191" s="696">
        <v>56121</v>
      </c>
      <c r="B191" s="696">
        <v>1531</v>
      </c>
      <c r="C191" s="696">
        <v>100</v>
      </c>
      <c r="D191" s="696">
        <v>2200</v>
      </c>
      <c r="F191" s="700" t="s">
        <v>1274</v>
      </c>
      <c r="G191" s="701">
        <v>5000</v>
      </c>
      <c r="H191" s="12" t="s">
        <v>997</v>
      </c>
      <c r="I191" s="12" t="s">
        <v>893</v>
      </c>
      <c r="J191" s="12" t="s">
        <v>906</v>
      </c>
      <c r="K191" s="12" t="s">
        <v>891</v>
      </c>
      <c r="L191" s="12"/>
      <c r="M191" s="11"/>
      <c r="N191" s="11"/>
      <c r="O191" s="11"/>
      <c r="P191" s="11"/>
    </row>
    <row r="192" spans="1:16" x14ac:dyDescent="0.25">
      <c r="A192" s="696">
        <v>56121</v>
      </c>
      <c r="B192" s="696">
        <v>1531</v>
      </c>
      <c r="C192" s="696">
        <v>100</v>
      </c>
      <c r="D192" s="696">
        <v>2500</v>
      </c>
      <c r="F192" s="700" t="s">
        <v>1274</v>
      </c>
      <c r="G192" s="701">
        <v>20</v>
      </c>
      <c r="H192" s="12" t="s">
        <v>997</v>
      </c>
      <c r="I192" s="12" t="s">
        <v>893</v>
      </c>
      <c r="J192" s="12" t="s">
        <v>926</v>
      </c>
      <c r="K192" s="12" t="s">
        <v>891</v>
      </c>
      <c r="L192" s="12"/>
      <c r="M192" s="11"/>
      <c r="N192" s="11"/>
      <c r="O192" s="11"/>
      <c r="P192" s="11"/>
    </row>
    <row r="193" spans="1:16" x14ac:dyDescent="0.25">
      <c r="A193" s="696">
        <v>56121</v>
      </c>
      <c r="B193" s="696">
        <v>1532</v>
      </c>
      <c r="C193" s="696">
        <v>100</v>
      </c>
      <c r="D193" s="696">
        <v>2200</v>
      </c>
      <c r="F193" s="700" t="s">
        <v>1274</v>
      </c>
      <c r="G193" s="701">
        <v>320</v>
      </c>
      <c r="H193" s="12" t="s">
        <v>997</v>
      </c>
      <c r="I193" s="12" t="s">
        <v>893</v>
      </c>
      <c r="J193" s="12" t="s">
        <v>906</v>
      </c>
      <c r="K193" s="12" t="s">
        <v>891</v>
      </c>
      <c r="L193" s="12"/>
      <c r="M193" s="11"/>
      <c r="N193" s="11"/>
      <c r="O193" s="11"/>
      <c r="P193" s="11"/>
    </row>
    <row r="194" spans="1:16" x14ac:dyDescent="0.25">
      <c r="A194" s="696">
        <v>56121</v>
      </c>
      <c r="B194" s="696">
        <v>1774</v>
      </c>
      <c r="C194" s="696">
        <v>615</v>
      </c>
      <c r="D194" s="696">
        <v>1000</v>
      </c>
      <c r="F194" s="700" t="s">
        <v>1274</v>
      </c>
      <c r="G194" s="701">
        <v>500</v>
      </c>
      <c r="H194" s="12" t="s">
        <v>997</v>
      </c>
      <c r="I194" s="12" t="s">
        <v>937</v>
      </c>
      <c r="J194" s="12" t="s">
        <v>894</v>
      </c>
      <c r="K194" s="12" t="s">
        <v>891</v>
      </c>
      <c r="L194" s="12"/>
      <c r="M194" s="11"/>
      <c r="N194" s="11"/>
      <c r="O194" s="11"/>
      <c r="P194" s="11"/>
    </row>
    <row r="195" spans="1:16" x14ac:dyDescent="0.25">
      <c r="A195" s="696">
        <v>56121</v>
      </c>
      <c r="B195" s="696">
        <v>1784</v>
      </c>
      <c r="C195" s="696">
        <v>615</v>
      </c>
      <c r="D195" s="696">
        <v>1000</v>
      </c>
      <c r="F195" s="700" t="s">
        <v>1274</v>
      </c>
      <c r="G195" s="701">
        <v>1000</v>
      </c>
      <c r="H195" s="12" t="s">
        <v>997</v>
      </c>
      <c r="I195" s="12" t="s">
        <v>937</v>
      </c>
      <c r="J195" s="12" t="s">
        <v>894</v>
      </c>
      <c r="K195" s="12" t="s">
        <v>891</v>
      </c>
      <c r="L195" s="12"/>
      <c r="M195" s="11"/>
      <c r="N195" s="11"/>
      <c r="O195" s="11"/>
      <c r="P195" s="11"/>
    </row>
    <row r="196" spans="1:16" x14ac:dyDescent="0.25">
      <c r="A196" s="696">
        <v>56121</v>
      </c>
      <c r="B196" s="696">
        <v>1808</v>
      </c>
      <c r="C196" s="696">
        <v>615</v>
      </c>
      <c r="D196" s="696">
        <v>1000</v>
      </c>
      <c r="F196" s="700" t="s">
        <v>1274</v>
      </c>
      <c r="G196" s="701">
        <v>500</v>
      </c>
      <c r="H196" s="12" t="s">
        <v>997</v>
      </c>
      <c r="I196" s="12" t="s">
        <v>937</v>
      </c>
      <c r="J196" s="12" t="s">
        <v>894</v>
      </c>
      <c r="K196" s="12" t="s">
        <v>891</v>
      </c>
      <c r="L196" s="12"/>
      <c r="M196" s="11"/>
      <c r="N196" s="11"/>
      <c r="O196" s="11"/>
      <c r="P196" s="11"/>
    </row>
    <row r="197" spans="1:16" x14ac:dyDescent="0.25">
      <c r="A197" s="696">
        <v>56121</v>
      </c>
      <c r="B197" s="696">
        <v>1810</v>
      </c>
      <c r="C197" s="696">
        <v>615</v>
      </c>
      <c r="D197" s="696">
        <v>1000</v>
      </c>
      <c r="F197" s="700" t="s">
        <v>1274</v>
      </c>
      <c r="G197" s="701">
        <v>1000</v>
      </c>
      <c r="H197" s="12" t="s">
        <v>997</v>
      </c>
      <c r="I197" s="12" t="s">
        <v>937</v>
      </c>
      <c r="J197" s="12" t="s">
        <v>894</v>
      </c>
      <c r="K197" s="12" t="s">
        <v>891</v>
      </c>
      <c r="L197" s="12"/>
      <c r="M197" s="11"/>
      <c r="N197" s="11"/>
      <c r="O197" s="11"/>
      <c r="P197" s="11"/>
    </row>
    <row r="198" spans="1:16" x14ac:dyDescent="0.25">
      <c r="A198" s="696">
        <v>56121</v>
      </c>
      <c r="B198" s="696">
        <v>1812</v>
      </c>
      <c r="C198" s="696">
        <v>615</v>
      </c>
      <c r="D198" s="696">
        <v>1000</v>
      </c>
      <c r="F198" s="700" t="s">
        <v>1274</v>
      </c>
      <c r="G198" s="701">
        <v>1000</v>
      </c>
      <c r="H198" s="12" t="s">
        <v>997</v>
      </c>
      <c r="I198" s="12" t="s">
        <v>937</v>
      </c>
      <c r="J198" s="12" t="s">
        <v>894</v>
      </c>
      <c r="K198" s="12" t="s">
        <v>891</v>
      </c>
      <c r="L198" s="12"/>
      <c r="M198" s="11"/>
      <c r="N198" s="11"/>
      <c r="O198" s="11"/>
      <c r="P198" s="11"/>
    </row>
    <row r="199" spans="1:16" x14ac:dyDescent="0.25">
      <c r="A199" s="696">
        <v>56121</v>
      </c>
      <c r="B199" s="696">
        <v>1833</v>
      </c>
      <c r="C199" s="696">
        <v>615</v>
      </c>
      <c r="D199" s="696">
        <v>1000</v>
      </c>
      <c r="F199" s="700" t="s">
        <v>1274</v>
      </c>
      <c r="G199" s="701">
        <v>4000</v>
      </c>
      <c r="H199" s="12" t="s">
        <v>997</v>
      </c>
      <c r="I199" s="12" t="s">
        <v>937</v>
      </c>
      <c r="J199" s="12" t="s">
        <v>894</v>
      </c>
      <c r="K199" s="12" t="s">
        <v>891</v>
      </c>
      <c r="L199" s="12"/>
      <c r="M199" s="11"/>
      <c r="N199" s="11"/>
      <c r="O199" s="11"/>
      <c r="P199" s="11"/>
    </row>
    <row r="200" spans="1:16" x14ac:dyDescent="0.25">
      <c r="A200" s="696">
        <v>56121</v>
      </c>
      <c r="B200" s="696">
        <v>1835</v>
      </c>
      <c r="C200" s="696">
        <v>615</v>
      </c>
      <c r="D200" s="696">
        <v>1000</v>
      </c>
      <c r="F200" s="700" t="s">
        <v>1274</v>
      </c>
      <c r="G200" s="701">
        <v>500</v>
      </c>
      <c r="H200" s="12" t="s">
        <v>997</v>
      </c>
      <c r="I200" s="12" t="s">
        <v>937</v>
      </c>
      <c r="J200" s="12" t="s">
        <v>894</v>
      </c>
      <c r="K200" s="12" t="s">
        <v>891</v>
      </c>
      <c r="L200" s="12"/>
      <c r="M200" s="11"/>
      <c r="N200" s="11"/>
      <c r="O200" s="11"/>
      <c r="P200" s="11"/>
    </row>
    <row r="201" spans="1:16" x14ac:dyDescent="0.25">
      <c r="A201" s="696">
        <v>56121</v>
      </c>
      <c r="B201" s="696">
        <v>1844</v>
      </c>
      <c r="C201" s="696">
        <v>615</v>
      </c>
      <c r="D201" s="696">
        <v>1000</v>
      </c>
      <c r="F201" s="700" t="s">
        <v>1274</v>
      </c>
      <c r="G201" s="701">
        <v>500</v>
      </c>
      <c r="H201" s="12" t="s">
        <v>997</v>
      </c>
      <c r="I201" s="12" t="s">
        <v>937</v>
      </c>
      <c r="J201" s="12" t="s">
        <v>894</v>
      </c>
      <c r="K201" s="12" t="s">
        <v>891</v>
      </c>
      <c r="L201" s="12"/>
      <c r="M201" s="11"/>
      <c r="N201" s="11"/>
      <c r="O201" s="11"/>
      <c r="P201" s="11"/>
    </row>
    <row r="202" spans="1:16" x14ac:dyDescent="0.25">
      <c r="A202" s="696">
        <v>56121</v>
      </c>
      <c r="B202" s="696">
        <v>1853</v>
      </c>
      <c r="C202" s="696">
        <v>615</v>
      </c>
      <c r="D202" s="696">
        <v>1000</v>
      </c>
      <c r="F202" s="700" t="s">
        <v>1274</v>
      </c>
      <c r="G202" s="701">
        <v>500</v>
      </c>
      <c r="H202" s="12" t="s">
        <v>997</v>
      </c>
      <c r="I202" s="12" t="s">
        <v>937</v>
      </c>
      <c r="J202" s="12" t="s">
        <v>894</v>
      </c>
      <c r="K202" s="12" t="s">
        <v>891</v>
      </c>
      <c r="L202" s="12"/>
      <c r="M202" s="11"/>
      <c r="N202" s="11"/>
      <c r="O202" s="11"/>
      <c r="P202" s="11"/>
    </row>
    <row r="203" spans="1:16" x14ac:dyDescent="0.25">
      <c r="A203" s="696">
        <v>56122</v>
      </c>
      <c r="B203" s="696">
        <v>1000</v>
      </c>
      <c r="C203" s="696">
        <v>100</v>
      </c>
      <c r="D203" s="696">
        <v>1000</v>
      </c>
      <c r="F203" s="700" t="s">
        <v>1275</v>
      </c>
      <c r="G203" s="701">
        <v>77328.7</v>
      </c>
      <c r="H203" s="12" t="s">
        <v>889</v>
      </c>
      <c r="I203" s="12" t="s">
        <v>893</v>
      </c>
      <c r="J203" s="12" t="s">
        <v>894</v>
      </c>
      <c r="K203" s="12" t="s">
        <v>891</v>
      </c>
      <c r="L203" s="12"/>
      <c r="M203" s="11"/>
      <c r="N203" s="11"/>
      <c r="O203" s="11"/>
      <c r="P203" s="11"/>
    </row>
    <row r="204" spans="1:16" x14ac:dyDescent="0.25">
      <c r="A204" s="696">
        <v>56122</v>
      </c>
      <c r="B204" s="696">
        <v>1000</v>
      </c>
      <c r="C204" s="696">
        <v>100</v>
      </c>
      <c r="D204" s="696">
        <v>2100</v>
      </c>
      <c r="F204" s="700" t="s">
        <v>1275</v>
      </c>
      <c r="G204" s="701">
        <v>4817.55</v>
      </c>
      <c r="H204" s="12" t="s">
        <v>889</v>
      </c>
      <c r="I204" s="12" t="s">
        <v>893</v>
      </c>
      <c r="J204" s="12" t="s">
        <v>902</v>
      </c>
      <c r="K204" s="12" t="s">
        <v>891</v>
      </c>
      <c r="L204" s="12"/>
      <c r="M204" s="11"/>
      <c r="N204" s="11"/>
      <c r="O204" s="11"/>
      <c r="P204" s="11"/>
    </row>
    <row r="205" spans="1:16" x14ac:dyDescent="0.25">
      <c r="A205" s="696">
        <v>56122</v>
      </c>
      <c r="B205" s="696">
        <v>1000</v>
      </c>
      <c r="C205" s="696">
        <v>100</v>
      </c>
      <c r="D205" s="696">
        <v>2200</v>
      </c>
      <c r="F205" s="700" t="s">
        <v>1275</v>
      </c>
      <c r="G205" s="701">
        <v>9585.2800000000007</v>
      </c>
      <c r="H205" s="12" t="s">
        <v>889</v>
      </c>
      <c r="I205" s="12" t="s">
        <v>893</v>
      </c>
      <c r="J205" s="12" t="s">
        <v>906</v>
      </c>
      <c r="K205" s="12" t="s">
        <v>891</v>
      </c>
      <c r="L205" s="12"/>
      <c r="M205" s="11"/>
      <c r="N205" s="11"/>
      <c r="O205" s="11"/>
      <c r="P205" s="11"/>
    </row>
    <row r="206" spans="1:16" x14ac:dyDescent="0.25">
      <c r="A206" s="696">
        <v>56122</v>
      </c>
      <c r="B206" s="696">
        <v>1000</v>
      </c>
      <c r="C206" s="696">
        <v>100</v>
      </c>
      <c r="D206" s="696">
        <v>2500</v>
      </c>
      <c r="F206" s="700" t="s">
        <v>1275</v>
      </c>
      <c r="G206" s="701">
        <v>2602.5300000000002</v>
      </c>
      <c r="H206" s="12" t="s">
        <v>889</v>
      </c>
      <c r="I206" s="12" t="s">
        <v>893</v>
      </c>
      <c r="J206" s="12" t="s">
        <v>926</v>
      </c>
      <c r="K206" s="12" t="s">
        <v>891</v>
      </c>
      <c r="L206" s="12"/>
      <c r="M206" s="11"/>
      <c r="N206" s="11"/>
      <c r="O206" s="11"/>
      <c r="P206" s="11"/>
    </row>
    <row r="207" spans="1:16" x14ac:dyDescent="0.25">
      <c r="A207" s="696">
        <v>56122</v>
      </c>
      <c r="B207" s="696">
        <v>1000</v>
      </c>
      <c r="C207" s="696">
        <v>200</v>
      </c>
      <c r="D207" s="696">
        <v>1000</v>
      </c>
      <c r="F207" s="700" t="s">
        <v>1275</v>
      </c>
      <c r="G207" s="701">
        <v>2268</v>
      </c>
      <c r="H207" s="12" t="s">
        <v>889</v>
      </c>
      <c r="I207" s="12" t="s">
        <v>897</v>
      </c>
      <c r="J207" s="12" t="s">
        <v>894</v>
      </c>
      <c r="K207" s="12" t="s">
        <v>891</v>
      </c>
      <c r="L207" s="12"/>
      <c r="M207" s="11"/>
      <c r="N207" s="11"/>
      <c r="O207" s="11"/>
      <c r="P207" s="11"/>
    </row>
    <row r="208" spans="1:16" x14ac:dyDescent="0.25">
      <c r="A208" s="696">
        <v>56122</v>
      </c>
      <c r="B208" s="696">
        <v>1000</v>
      </c>
      <c r="C208" s="696">
        <v>615</v>
      </c>
      <c r="D208" s="696">
        <v>1000</v>
      </c>
      <c r="F208" s="700" t="s">
        <v>1275</v>
      </c>
      <c r="G208" s="701">
        <v>1500</v>
      </c>
      <c r="H208" s="12" t="s">
        <v>889</v>
      </c>
      <c r="I208" s="12" t="s">
        <v>937</v>
      </c>
      <c r="J208" s="12" t="s">
        <v>894</v>
      </c>
      <c r="K208" s="12" t="s">
        <v>891</v>
      </c>
      <c r="L208" s="12"/>
      <c r="M208" s="11"/>
      <c r="N208" s="11"/>
      <c r="O208" s="11"/>
      <c r="P208" s="11"/>
    </row>
    <row r="209" spans="1:16" x14ac:dyDescent="0.25">
      <c r="A209" s="696">
        <v>56111</v>
      </c>
      <c r="B209" s="696">
        <v>1322</v>
      </c>
      <c r="C209" s="696">
        <v>100</v>
      </c>
      <c r="D209" s="696">
        <v>2500</v>
      </c>
      <c r="F209" s="700" t="s">
        <v>1268</v>
      </c>
      <c r="G209" s="701">
        <v>186786.24</v>
      </c>
      <c r="H209" s="12" t="s">
        <v>968</v>
      </c>
      <c r="I209" s="12" t="s">
        <v>893</v>
      </c>
      <c r="J209" s="12" t="s">
        <v>926</v>
      </c>
      <c r="K209" s="12" t="s">
        <v>891</v>
      </c>
      <c r="L209" s="12"/>
      <c r="M209" s="11"/>
      <c r="N209" s="11"/>
      <c r="O209" s="11"/>
      <c r="P209" s="11"/>
    </row>
    <row r="210" spans="1:16" x14ac:dyDescent="0.25">
      <c r="A210" s="696">
        <v>56121</v>
      </c>
      <c r="B210" s="696">
        <v>1322</v>
      </c>
      <c r="C210" s="696">
        <v>100</v>
      </c>
      <c r="D210" s="696">
        <v>2500</v>
      </c>
      <c r="F210" s="700" t="s">
        <v>1274</v>
      </c>
      <c r="G210" s="701">
        <v>12000</v>
      </c>
      <c r="H210" s="12" t="s">
        <v>968</v>
      </c>
      <c r="I210" s="12" t="s">
        <v>893</v>
      </c>
      <c r="J210" s="12" t="s">
        <v>926</v>
      </c>
      <c r="K210" s="12" t="s">
        <v>891</v>
      </c>
      <c r="L210" s="12"/>
      <c r="M210" s="11"/>
      <c r="N210" s="11"/>
      <c r="O210" s="11"/>
      <c r="P210" s="11"/>
    </row>
    <row r="211" spans="1:16" x14ac:dyDescent="0.25">
      <c r="A211" s="696">
        <v>56122</v>
      </c>
      <c r="B211" s="696">
        <v>1756</v>
      </c>
      <c r="C211" s="696">
        <v>615</v>
      </c>
      <c r="D211" s="696">
        <v>1000</v>
      </c>
      <c r="F211" s="700" t="s">
        <v>1275</v>
      </c>
      <c r="G211" s="701">
        <v>4000</v>
      </c>
      <c r="H211" s="12" t="s">
        <v>997</v>
      </c>
      <c r="I211" s="12" t="s">
        <v>937</v>
      </c>
      <c r="J211" s="12" t="s">
        <v>894</v>
      </c>
      <c r="K211" s="12" t="s">
        <v>891</v>
      </c>
      <c r="L211" s="12"/>
      <c r="M211" s="11"/>
      <c r="N211" s="11"/>
      <c r="O211" s="11"/>
      <c r="P211" s="11"/>
    </row>
    <row r="212" spans="1:16" x14ac:dyDescent="0.25">
      <c r="A212" s="696">
        <v>56122</v>
      </c>
      <c r="B212" s="696">
        <v>1766</v>
      </c>
      <c r="C212" s="696">
        <v>615</v>
      </c>
      <c r="D212" s="696">
        <v>1000</v>
      </c>
      <c r="F212" s="700" t="s">
        <v>1275</v>
      </c>
      <c r="G212" s="701">
        <v>2000</v>
      </c>
      <c r="H212" s="12" t="s">
        <v>997</v>
      </c>
      <c r="I212" s="12" t="s">
        <v>937</v>
      </c>
      <c r="J212" s="12" t="s">
        <v>894</v>
      </c>
      <c r="K212" s="12" t="s">
        <v>891</v>
      </c>
      <c r="L212" s="12"/>
      <c r="M212" s="11"/>
      <c r="N212" s="11"/>
      <c r="O212" s="11"/>
      <c r="P212" s="11"/>
    </row>
    <row r="213" spans="1:16" x14ac:dyDescent="0.25">
      <c r="A213" s="696">
        <v>56122</v>
      </c>
      <c r="B213" s="696">
        <v>1769</v>
      </c>
      <c r="C213" s="696">
        <v>615</v>
      </c>
      <c r="D213" s="696">
        <v>1000</v>
      </c>
      <c r="F213" s="700" t="s">
        <v>1275</v>
      </c>
      <c r="G213" s="701">
        <v>500</v>
      </c>
      <c r="H213" s="12" t="s">
        <v>997</v>
      </c>
      <c r="I213" s="12" t="s">
        <v>937</v>
      </c>
      <c r="J213" s="12" t="s">
        <v>894</v>
      </c>
      <c r="K213" s="12" t="s">
        <v>891</v>
      </c>
      <c r="L213" s="12"/>
      <c r="M213" s="11"/>
      <c r="N213" s="11"/>
      <c r="O213" s="11"/>
      <c r="P213" s="11"/>
    </row>
    <row r="214" spans="1:16" x14ac:dyDescent="0.25">
      <c r="A214" s="696">
        <v>56122</v>
      </c>
      <c r="B214" s="696">
        <v>1772</v>
      </c>
      <c r="C214" s="696">
        <v>615</v>
      </c>
      <c r="D214" s="696">
        <v>1000</v>
      </c>
      <c r="F214" s="700" t="s">
        <v>1275</v>
      </c>
      <c r="G214" s="701">
        <v>3000</v>
      </c>
      <c r="H214" s="12" t="s">
        <v>997</v>
      </c>
      <c r="I214" s="12" t="s">
        <v>937</v>
      </c>
      <c r="J214" s="12" t="s">
        <v>894</v>
      </c>
      <c r="K214" s="12" t="s">
        <v>891</v>
      </c>
      <c r="L214" s="12"/>
      <c r="M214" s="11"/>
      <c r="N214" s="11"/>
      <c r="O214" s="11"/>
      <c r="P214" s="11"/>
    </row>
    <row r="215" spans="1:16" x14ac:dyDescent="0.25">
      <c r="A215" s="696">
        <v>56122</v>
      </c>
      <c r="B215" s="696">
        <v>1774</v>
      </c>
      <c r="C215" s="696">
        <v>615</v>
      </c>
      <c r="D215" s="696">
        <v>1000</v>
      </c>
      <c r="F215" s="700" t="s">
        <v>1275</v>
      </c>
      <c r="G215" s="701">
        <v>3500</v>
      </c>
      <c r="H215" s="12" t="s">
        <v>997</v>
      </c>
      <c r="I215" s="12" t="s">
        <v>937</v>
      </c>
      <c r="J215" s="12" t="s">
        <v>894</v>
      </c>
      <c r="K215" s="12" t="s">
        <v>891</v>
      </c>
      <c r="L215" s="12"/>
      <c r="M215" s="11"/>
      <c r="N215" s="11"/>
      <c r="O215" s="11"/>
      <c r="P215" s="11"/>
    </row>
    <row r="216" spans="1:16" x14ac:dyDescent="0.25">
      <c r="A216" s="696">
        <v>56122</v>
      </c>
      <c r="B216" s="696">
        <v>1782</v>
      </c>
      <c r="C216" s="696">
        <v>615</v>
      </c>
      <c r="D216" s="696">
        <v>1000</v>
      </c>
      <c r="F216" s="700" t="s">
        <v>1275</v>
      </c>
      <c r="G216" s="701">
        <v>2000</v>
      </c>
      <c r="H216" s="12" t="s">
        <v>997</v>
      </c>
      <c r="I216" s="12" t="s">
        <v>937</v>
      </c>
      <c r="J216" s="12" t="s">
        <v>894</v>
      </c>
      <c r="K216" s="12" t="s">
        <v>891</v>
      </c>
      <c r="L216" s="12"/>
      <c r="M216" s="11"/>
      <c r="N216" s="11"/>
      <c r="O216" s="11"/>
      <c r="P216" s="11"/>
    </row>
    <row r="217" spans="1:16" x14ac:dyDescent="0.25">
      <c r="A217" s="696">
        <v>56122</v>
      </c>
      <c r="B217" s="696">
        <v>1785</v>
      </c>
      <c r="C217" s="696">
        <v>615</v>
      </c>
      <c r="D217" s="696">
        <v>1000</v>
      </c>
      <c r="F217" s="700" t="s">
        <v>1275</v>
      </c>
      <c r="G217" s="701">
        <v>2000</v>
      </c>
      <c r="H217" s="12" t="s">
        <v>997</v>
      </c>
      <c r="I217" s="12" t="s">
        <v>937</v>
      </c>
      <c r="J217" s="12" t="s">
        <v>894</v>
      </c>
      <c r="K217" s="12" t="s">
        <v>891</v>
      </c>
      <c r="L217" s="12"/>
      <c r="M217" s="11"/>
      <c r="N217" s="11"/>
      <c r="O217" s="11"/>
      <c r="P217" s="11"/>
    </row>
    <row r="218" spans="1:16" x14ac:dyDescent="0.25">
      <c r="A218" s="696">
        <v>56122</v>
      </c>
      <c r="B218" s="696">
        <v>1788</v>
      </c>
      <c r="C218" s="696">
        <v>615</v>
      </c>
      <c r="D218" s="696">
        <v>1000</v>
      </c>
      <c r="F218" s="700" t="s">
        <v>1275</v>
      </c>
      <c r="G218" s="701">
        <v>1000</v>
      </c>
      <c r="H218" s="12" t="s">
        <v>997</v>
      </c>
      <c r="I218" s="12" t="s">
        <v>937</v>
      </c>
      <c r="J218" s="12" t="s">
        <v>894</v>
      </c>
      <c r="K218" s="12" t="s">
        <v>891</v>
      </c>
      <c r="L218" s="12"/>
      <c r="M218" s="11"/>
      <c r="N218" s="11"/>
      <c r="O218" s="11"/>
      <c r="P218" s="11"/>
    </row>
    <row r="219" spans="1:16" x14ac:dyDescent="0.25">
      <c r="A219" s="696">
        <v>56122</v>
      </c>
      <c r="B219" s="696">
        <v>1795</v>
      </c>
      <c r="C219" s="696">
        <v>615</v>
      </c>
      <c r="D219" s="696">
        <v>1000</v>
      </c>
      <c r="F219" s="700" t="s">
        <v>1275</v>
      </c>
      <c r="G219" s="701">
        <v>558</v>
      </c>
      <c r="H219" s="12" t="s">
        <v>997</v>
      </c>
      <c r="I219" s="12" t="s">
        <v>937</v>
      </c>
      <c r="J219" s="12" t="s">
        <v>894</v>
      </c>
      <c r="K219" s="12" t="s">
        <v>891</v>
      </c>
      <c r="L219" s="12"/>
      <c r="M219" s="11"/>
      <c r="N219" s="11"/>
      <c r="O219" s="11"/>
      <c r="P219" s="11"/>
    </row>
    <row r="220" spans="1:16" x14ac:dyDescent="0.25">
      <c r="A220" s="696">
        <v>56122</v>
      </c>
      <c r="B220" s="696">
        <v>1801</v>
      </c>
      <c r="C220" s="696">
        <v>615</v>
      </c>
      <c r="D220" s="696">
        <v>1000</v>
      </c>
      <c r="F220" s="700" t="s">
        <v>1275</v>
      </c>
      <c r="G220" s="701">
        <v>1000</v>
      </c>
      <c r="H220" s="12" t="s">
        <v>997</v>
      </c>
      <c r="I220" s="12" t="s">
        <v>937</v>
      </c>
      <c r="J220" s="12" t="s">
        <v>894</v>
      </c>
      <c r="K220" s="12" t="s">
        <v>891</v>
      </c>
      <c r="L220" s="12"/>
      <c r="M220" s="11"/>
      <c r="N220" s="11"/>
      <c r="O220" s="11"/>
      <c r="P220" s="11"/>
    </row>
    <row r="221" spans="1:16" x14ac:dyDescent="0.25">
      <c r="A221" s="696">
        <v>56122</v>
      </c>
      <c r="B221" s="696">
        <v>1802</v>
      </c>
      <c r="C221" s="696">
        <v>615</v>
      </c>
      <c r="D221" s="696">
        <v>1000</v>
      </c>
      <c r="F221" s="700" t="s">
        <v>1275</v>
      </c>
      <c r="G221" s="701">
        <v>1000</v>
      </c>
      <c r="H221" s="12" t="s">
        <v>997</v>
      </c>
      <c r="I221" s="12" t="s">
        <v>937</v>
      </c>
      <c r="J221" s="12" t="s">
        <v>894</v>
      </c>
      <c r="K221" s="12" t="s">
        <v>891</v>
      </c>
      <c r="L221" s="12"/>
      <c r="M221" s="11"/>
      <c r="N221" s="11"/>
      <c r="O221" s="11"/>
      <c r="P221" s="11"/>
    </row>
    <row r="222" spans="1:16" x14ac:dyDescent="0.25">
      <c r="A222" s="696">
        <v>56122</v>
      </c>
      <c r="B222" s="696">
        <v>1805</v>
      </c>
      <c r="C222" s="696">
        <v>615</v>
      </c>
      <c r="D222" s="696">
        <v>1000</v>
      </c>
      <c r="F222" s="700" t="s">
        <v>1275</v>
      </c>
      <c r="G222" s="701">
        <v>500</v>
      </c>
      <c r="H222" s="12" t="s">
        <v>997</v>
      </c>
      <c r="I222" s="12" t="s">
        <v>937</v>
      </c>
      <c r="J222" s="12" t="s">
        <v>894</v>
      </c>
      <c r="K222" s="12" t="s">
        <v>891</v>
      </c>
      <c r="L222" s="12"/>
      <c r="M222" s="11"/>
      <c r="N222" s="11"/>
      <c r="O222" s="11"/>
      <c r="P222" s="11"/>
    </row>
    <row r="223" spans="1:16" x14ac:dyDescent="0.25">
      <c r="A223" s="696">
        <v>56122</v>
      </c>
      <c r="B223" s="696">
        <v>1808</v>
      </c>
      <c r="C223" s="696">
        <v>615</v>
      </c>
      <c r="D223" s="696">
        <v>1000</v>
      </c>
      <c r="F223" s="700" t="s">
        <v>1275</v>
      </c>
      <c r="G223" s="701">
        <v>2000</v>
      </c>
      <c r="H223" s="12" t="s">
        <v>997</v>
      </c>
      <c r="I223" s="12" t="s">
        <v>937</v>
      </c>
      <c r="J223" s="12" t="s">
        <v>894</v>
      </c>
      <c r="K223" s="12" t="s">
        <v>891</v>
      </c>
      <c r="L223" s="12"/>
      <c r="M223" s="11"/>
      <c r="N223" s="11"/>
      <c r="O223" s="11"/>
      <c r="P223" s="11"/>
    </row>
    <row r="224" spans="1:16" x14ac:dyDescent="0.25">
      <c r="A224" s="696">
        <v>56122</v>
      </c>
      <c r="B224" s="696">
        <v>1810</v>
      </c>
      <c r="C224" s="696">
        <v>615</v>
      </c>
      <c r="D224" s="696">
        <v>1000</v>
      </c>
      <c r="F224" s="700" t="s">
        <v>1275</v>
      </c>
      <c r="G224" s="701">
        <v>3000</v>
      </c>
      <c r="H224" s="12" t="s">
        <v>997</v>
      </c>
      <c r="I224" s="12" t="s">
        <v>937</v>
      </c>
      <c r="J224" s="12" t="s">
        <v>894</v>
      </c>
      <c r="K224" s="12" t="s">
        <v>891</v>
      </c>
      <c r="L224" s="12"/>
      <c r="M224" s="11"/>
      <c r="N224" s="11"/>
      <c r="O224" s="11"/>
      <c r="P224" s="11"/>
    </row>
    <row r="225" spans="1:16" x14ac:dyDescent="0.25">
      <c r="A225" s="696">
        <v>56122</v>
      </c>
      <c r="B225" s="696">
        <v>1812</v>
      </c>
      <c r="C225" s="696">
        <v>615</v>
      </c>
      <c r="D225" s="696">
        <v>1000</v>
      </c>
      <c r="F225" s="700" t="s">
        <v>1275</v>
      </c>
      <c r="G225" s="701">
        <v>4000</v>
      </c>
      <c r="H225" s="12" t="s">
        <v>997</v>
      </c>
      <c r="I225" s="12" t="s">
        <v>937</v>
      </c>
      <c r="J225" s="12" t="s">
        <v>894</v>
      </c>
      <c r="K225" s="12" t="s">
        <v>891</v>
      </c>
      <c r="L225" s="12"/>
      <c r="M225" s="11"/>
      <c r="N225" s="11"/>
      <c r="O225" s="11"/>
      <c r="P225" s="11"/>
    </row>
    <row r="226" spans="1:16" x14ac:dyDescent="0.25">
      <c r="A226" s="696">
        <v>56122</v>
      </c>
      <c r="B226" s="696">
        <v>1817</v>
      </c>
      <c r="C226" s="696">
        <v>615</v>
      </c>
      <c r="D226" s="696">
        <v>1000</v>
      </c>
      <c r="F226" s="700" t="s">
        <v>1275</v>
      </c>
      <c r="G226" s="701">
        <v>1000</v>
      </c>
      <c r="H226" s="12" t="s">
        <v>997</v>
      </c>
      <c r="I226" s="12" t="s">
        <v>937</v>
      </c>
      <c r="J226" s="12" t="s">
        <v>894</v>
      </c>
      <c r="K226" s="12" t="s">
        <v>891</v>
      </c>
      <c r="L226" s="12"/>
      <c r="M226" s="11"/>
      <c r="N226" s="11"/>
      <c r="O226" s="11"/>
      <c r="P226" s="11"/>
    </row>
    <row r="227" spans="1:16" x14ac:dyDescent="0.25">
      <c r="A227" s="696">
        <v>56122</v>
      </c>
      <c r="B227" s="696">
        <v>1818</v>
      </c>
      <c r="C227" s="696">
        <v>615</v>
      </c>
      <c r="D227" s="696">
        <v>1000</v>
      </c>
      <c r="F227" s="700" t="s">
        <v>1275</v>
      </c>
      <c r="G227" s="701">
        <v>1000</v>
      </c>
      <c r="H227" s="12" t="s">
        <v>997</v>
      </c>
      <c r="I227" s="12" t="s">
        <v>937</v>
      </c>
      <c r="J227" s="12" t="s">
        <v>894</v>
      </c>
      <c r="K227" s="12" t="s">
        <v>891</v>
      </c>
      <c r="L227" s="12"/>
      <c r="M227" s="11"/>
      <c r="N227" s="11"/>
      <c r="O227" s="11"/>
      <c r="P227" s="11"/>
    </row>
    <row r="228" spans="1:16" x14ac:dyDescent="0.25">
      <c r="A228" s="696">
        <v>56122</v>
      </c>
      <c r="B228" s="696">
        <v>1823</v>
      </c>
      <c r="C228" s="696">
        <v>615</v>
      </c>
      <c r="D228" s="696">
        <v>1000</v>
      </c>
      <c r="F228" s="700" t="s">
        <v>1275</v>
      </c>
      <c r="G228" s="701">
        <v>1000</v>
      </c>
      <c r="H228" s="12" t="s">
        <v>997</v>
      </c>
      <c r="I228" s="12" t="s">
        <v>937</v>
      </c>
      <c r="J228" s="12" t="s">
        <v>894</v>
      </c>
      <c r="K228" s="12" t="s">
        <v>891</v>
      </c>
      <c r="L228" s="12"/>
      <c r="M228" s="11"/>
      <c r="N228" s="11"/>
      <c r="O228" s="11"/>
      <c r="P228" s="11"/>
    </row>
    <row r="229" spans="1:16" x14ac:dyDescent="0.25">
      <c r="A229" s="696">
        <v>56122</v>
      </c>
      <c r="B229" s="696">
        <v>1834</v>
      </c>
      <c r="C229" s="696">
        <v>615</v>
      </c>
      <c r="D229" s="696">
        <v>1000</v>
      </c>
      <c r="F229" s="700" t="s">
        <v>1275</v>
      </c>
      <c r="G229" s="701">
        <v>1000</v>
      </c>
      <c r="H229" s="12" t="s">
        <v>997</v>
      </c>
      <c r="I229" s="12" t="s">
        <v>937</v>
      </c>
      <c r="J229" s="12" t="s">
        <v>894</v>
      </c>
      <c r="K229" s="12" t="s">
        <v>891</v>
      </c>
      <c r="L229" s="12"/>
      <c r="M229" s="11"/>
      <c r="N229" s="11"/>
      <c r="O229" s="11"/>
      <c r="P229" s="11"/>
    </row>
    <row r="230" spans="1:16" x14ac:dyDescent="0.25">
      <c r="A230" s="696">
        <v>56122</v>
      </c>
      <c r="B230" s="696">
        <v>1835</v>
      </c>
      <c r="C230" s="696">
        <v>615</v>
      </c>
      <c r="D230" s="696">
        <v>1000</v>
      </c>
      <c r="F230" s="700" t="s">
        <v>1275</v>
      </c>
      <c r="G230" s="701">
        <v>500</v>
      </c>
      <c r="H230" s="12" t="s">
        <v>997</v>
      </c>
      <c r="I230" s="12" t="s">
        <v>937</v>
      </c>
      <c r="J230" s="12" t="s">
        <v>894</v>
      </c>
      <c r="K230" s="12" t="s">
        <v>891</v>
      </c>
      <c r="L230" s="12"/>
      <c r="M230" s="11"/>
      <c r="N230" s="11"/>
      <c r="O230" s="11"/>
      <c r="P230" s="11"/>
    </row>
    <row r="231" spans="1:16" x14ac:dyDescent="0.25">
      <c r="A231" s="696">
        <v>56122</v>
      </c>
      <c r="B231" s="696">
        <v>1836</v>
      </c>
      <c r="C231" s="696">
        <v>615</v>
      </c>
      <c r="D231" s="696">
        <v>1000</v>
      </c>
      <c r="F231" s="700" t="s">
        <v>1275</v>
      </c>
      <c r="G231" s="701">
        <v>1000</v>
      </c>
      <c r="H231" s="12" t="s">
        <v>997</v>
      </c>
      <c r="I231" s="12" t="s">
        <v>937</v>
      </c>
      <c r="J231" s="12" t="s">
        <v>894</v>
      </c>
      <c r="K231" s="12" t="s">
        <v>891</v>
      </c>
      <c r="L231" s="12"/>
      <c r="M231" s="11"/>
      <c r="N231" s="11"/>
      <c r="O231" s="11"/>
      <c r="P231" s="11"/>
    </row>
    <row r="232" spans="1:16" x14ac:dyDescent="0.25">
      <c r="A232" s="696">
        <v>56122</v>
      </c>
      <c r="B232" s="696">
        <v>1844</v>
      </c>
      <c r="C232" s="696">
        <v>615</v>
      </c>
      <c r="D232" s="696">
        <v>1000</v>
      </c>
      <c r="F232" s="700" t="s">
        <v>1275</v>
      </c>
      <c r="G232" s="701">
        <v>500</v>
      </c>
      <c r="H232" s="12" t="s">
        <v>997</v>
      </c>
      <c r="I232" s="12" t="s">
        <v>937</v>
      </c>
      <c r="J232" s="12" t="s">
        <v>894</v>
      </c>
      <c r="K232" s="12" t="s">
        <v>891</v>
      </c>
      <c r="L232" s="12"/>
      <c r="M232" s="11"/>
      <c r="N232" s="11"/>
      <c r="O232" s="11"/>
      <c r="P232" s="11"/>
    </row>
    <row r="233" spans="1:16" x14ac:dyDescent="0.25">
      <c r="A233" s="696">
        <v>56122</v>
      </c>
      <c r="B233" s="696">
        <v>1853</v>
      </c>
      <c r="C233" s="696">
        <v>615</v>
      </c>
      <c r="D233" s="696">
        <v>1000</v>
      </c>
      <c r="F233" s="700" t="s">
        <v>1275</v>
      </c>
      <c r="G233" s="701">
        <v>1500</v>
      </c>
      <c r="H233" s="12" t="s">
        <v>997</v>
      </c>
      <c r="I233" s="12" t="s">
        <v>937</v>
      </c>
      <c r="J233" s="12" t="s">
        <v>894</v>
      </c>
      <c r="K233" s="12" t="s">
        <v>891</v>
      </c>
      <c r="L233" s="12"/>
      <c r="M233" s="11"/>
      <c r="N233" s="11"/>
      <c r="O233" s="11"/>
      <c r="P233" s="11"/>
    </row>
    <row r="234" spans="1:16" x14ac:dyDescent="0.25">
      <c r="A234" s="696">
        <v>56122</v>
      </c>
      <c r="B234" s="696">
        <v>1859</v>
      </c>
      <c r="C234" s="696">
        <v>615</v>
      </c>
      <c r="D234" s="696">
        <v>1000</v>
      </c>
      <c r="F234" s="700" t="s">
        <v>1275</v>
      </c>
      <c r="G234" s="701">
        <v>1000</v>
      </c>
      <c r="H234" s="12" t="s">
        <v>997</v>
      </c>
      <c r="I234" s="12" t="s">
        <v>937</v>
      </c>
      <c r="J234" s="12" t="s">
        <v>894</v>
      </c>
      <c r="K234" s="12" t="s">
        <v>891</v>
      </c>
      <c r="L234" s="12"/>
      <c r="M234" s="11"/>
      <c r="N234" s="11"/>
      <c r="O234" s="11"/>
      <c r="P234" s="11"/>
    </row>
    <row r="235" spans="1:16" x14ac:dyDescent="0.25">
      <c r="A235" s="696">
        <v>56122</v>
      </c>
      <c r="B235" s="696">
        <v>1866</v>
      </c>
      <c r="C235" s="696">
        <v>615</v>
      </c>
      <c r="D235" s="696">
        <v>1000</v>
      </c>
      <c r="F235" s="700" t="s">
        <v>1275</v>
      </c>
      <c r="G235" s="701">
        <v>500</v>
      </c>
      <c r="H235" s="12" t="s">
        <v>997</v>
      </c>
      <c r="I235" s="12" t="s">
        <v>937</v>
      </c>
      <c r="J235" s="12" t="s">
        <v>894</v>
      </c>
      <c r="K235" s="12" t="s">
        <v>891</v>
      </c>
      <c r="L235" s="12"/>
      <c r="M235" s="11"/>
      <c r="N235" s="11"/>
      <c r="O235" s="11"/>
      <c r="P235" s="11"/>
    </row>
    <row r="236" spans="1:16" x14ac:dyDescent="0.25">
      <c r="A236" s="696">
        <v>56122</v>
      </c>
      <c r="B236" s="696">
        <v>1867</v>
      </c>
      <c r="C236" s="696">
        <v>615</v>
      </c>
      <c r="D236" s="696">
        <v>1000</v>
      </c>
      <c r="F236" s="700" t="s">
        <v>1275</v>
      </c>
      <c r="G236" s="701">
        <v>1250</v>
      </c>
      <c r="H236" s="12" t="s">
        <v>997</v>
      </c>
      <c r="I236" s="12" t="s">
        <v>937</v>
      </c>
      <c r="J236" s="12" t="s">
        <v>894</v>
      </c>
      <c r="K236" s="12" t="s">
        <v>891</v>
      </c>
      <c r="L236" s="12"/>
      <c r="M236" s="11"/>
      <c r="N236" s="11"/>
      <c r="O236" s="11"/>
      <c r="P236" s="11"/>
    </row>
    <row r="237" spans="1:16" x14ac:dyDescent="0.25">
      <c r="A237" s="696">
        <v>56122</v>
      </c>
      <c r="B237" s="696">
        <v>1910</v>
      </c>
      <c r="C237" s="696">
        <v>615</v>
      </c>
      <c r="D237" s="696">
        <v>1000</v>
      </c>
      <c r="F237" s="700" t="s">
        <v>1275</v>
      </c>
      <c r="G237" s="701">
        <v>1000</v>
      </c>
      <c r="H237" s="12" t="s">
        <v>997</v>
      </c>
      <c r="I237" s="12" t="s">
        <v>937</v>
      </c>
      <c r="J237" s="12" t="s">
        <v>894</v>
      </c>
      <c r="K237" s="12" t="s">
        <v>891</v>
      </c>
      <c r="L237" s="12"/>
      <c r="M237" s="11"/>
      <c r="N237" s="11"/>
      <c r="O237" s="11"/>
      <c r="P237" s="11"/>
    </row>
    <row r="238" spans="1:16" x14ac:dyDescent="0.25">
      <c r="A238" s="696">
        <v>56124</v>
      </c>
      <c r="B238" s="696">
        <v>1000</v>
      </c>
      <c r="C238" s="696">
        <v>100</v>
      </c>
      <c r="D238" s="696">
        <v>2200</v>
      </c>
      <c r="F238" s="700" t="s">
        <v>1276</v>
      </c>
      <c r="G238" s="701">
        <v>385.26</v>
      </c>
      <c r="H238" s="12" t="s">
        <v>889</v>
      </c>
      <c r="I238" s="12" t="s">
        <v>893</v>
      </c>
      <c r="J238" s="12" t="s">
        <v>906</v>
      </c>
      <c r="K238" s="12" t="s">
        <v>891</v>
      </c>
      <c r="L238" s="12"/>
      <c r="M238" s="11"/>
      <c r="N238" s="11"/>
      <c r="O238" s="11"/>
      <c r="P238" s="11"/>
    </row>
    <row r="239" spans="1:16" x14ac:dyDescent="0.25">
      <c r="A239" s="696">
        <v>56124</v>
      </c>
      <c r="B239" s="696">
        <v>1812</v>
      </c>
      <c r="C239" s="696">
        <v>615</v>
      </c>
      <c r="D239" s="696">
        <v>1000</v>
      </c>
      <c r="F239" s="700" t="s">
        <v>1276</v>
      </c>
      <c r="G239" s="701">
        <v>1000</v>
      </c>
      <c r="H239" s="12" t="s">
        <v>997</v>
      </c>
      <c r="I239" s="12" t="s">
        <v>937</v>
      </c>
      <c r="J239" s="12" t="s">
        <v>894</v>
      </c>
      <c r="K239" s="12" t="s">
        <v>891</v>
      </c>
      <c r="L239" s="12"/>
      <c r="M239" s="11"/>
      <c r="N239" s="11"/>
      <c r="O239" s="11"/>
      <c r="P239" s="11"/>
    </row>
    <row r="240" spans="1:16" x14ac:dyDescent="0.25">
      <c r="A240" s="696">
        <v>56127</v>
      </c>
      <c r="B240" s="696">
        <v>1000</v>
      </c>
      <c r="C240" s="696">
        <v>100</v>
      </c>
      <c r="D240" s="696">
        <v>1000</v>
      </c>
      <c r="F240" s="700" t="s">
        <v>1277</v>
      </c>
      <c r="G240" s="701">
        <v>9154.41</v>
      </c>
      <c r="H240" s="12" t="s">
        <v>889</v>
      </c>
      <c r="I240" s="12" t="s">
        <v>893</v>
      </c>
      <c r="J240" s="12" t="s">
        <v>894</v>
      </c>
      <c r="K240" s="12" t="s">
        <v>891</v>
      </c>
      <c r="L240" s="12"/>
      <c r="M240" s="11"/>
      <c r="N240" s="11"/>
      <c r="O240" s="11"/>
      <c r="P240" s="11"/>
    </row>
    <row r="241" spans="1:16" x14ac:dyDescent="0.25">
      <c r="A241" s="696">
        <v>56127</v>
      </c>
      <c r="B241" s="696">
        <v>1000</v>
      </c>
      <c r="C241" s="696">
        <v>100</v>
      </c>
      <c r="D241" s="696">
        <v>2200</v>
      </c>
      <c r="F241" s="700" t="s">
        <v>1277</v>
      </c>
      <c r="G241" s="701">
        <v>210</v>
      </c>
      <c r="H241" s="12" t="s">
        <v>889</v>
      </c>
      <c r="I241" s="12" t="s">
        <v>893</v>
      </c>
      <c r="J241" s="12" t="s">
        <v>906</v>
      </c>
      <c r="K241" s="12" t="s">
        <v>891</v>
      </c>
      <c r="L241" s="12"/>
      <c r="M241" s="11"/>
      <c r="N241" s="11"/>
      <c r="O241" s="11"/>
      <c r="P241" s="11"/>
    </row>
    <row r="242" spans="1:16" x14ac:dyDescent="0.25">
      <c r="A242" s="696">
        <v>56127</v>
      </c>
      <c r="B242" s="696">
        <v>1000</v>
      </c>
      <c r="C242" s="696">
        <v>100</v>
      </c>
      <c r="D242" s="696">
        <v>2500</v>
      </c>
      <c r="F242" s="700" t="s">
        <v>1277</v>
      </c>
      <c r="G242" s="701">
        <v>3350</v>
      </c>
      <c r="H242" s="12" t="s">
        <v>889</v>
      </c>
      <c r="I242" s="12" t="s">
        <v>893</v>
      </c>
      <c r="J242" s="12" t="s">
        <v>926</v>
      </c>
      <c r="K242" s="12" t="s">
        <v>891</v>
      </c>
      <c r="L242" s="12"/>
      <c r="M242" s="11"/>
      <c r="N242" s="11"/>
      <c r="O242" s="11"/>
      <c r="P242" s="11"/>
    </row>
    <row r="243" spans="1:16" x14ac:dyDescent="0.25">
      <c r="A243" s="696">
        <v>56127</v>
      </c>
      <c r="B243" s="696">
        <v>1798</v>
      </c>
      <c r="C243" s="696">
        <v>615</v>
      </c>
      <c r="D243" s="696">
        <v>1000</v>
      </c>
      <c r="F243" s="700" t="s">
        <v>1277</v>
      </c>
      <c r="G243" s="701">
        <v>1000</v>
      </c>
      <c r="H243" s="12" t="s">
        <v>997</v>
      </c>
      <c r="I243" s="12" t="s">
        <v>937</v>
      </c>
      <c r="J243" s="12" t="s">
        <v>894</v>
      </c>
      <c r="K243" s="12" t="s">
        <v>891</v>
      </c>
      <c r="L243" s="12"/>
      <c r="M243" s="11"/>
      <c r="N243" s="11"/>
      <c r="O243" s="11"/>
      <c r="P243" s="11"/>
    </row>
    <row r="244" spans="1:16" x14ac:dyDescent="0.25">
      <c r="A244" s="696">
        <v>56127</v>
      </c>
      <c r="B244" s="696">
        <v>1801</v>
      </c>
      <c r="C244" s="696">
        <v>615</v>
      </c>
      <c r="D244" s="696">
        <v>1000</v>
      </c>
      <c r="F244" s="700" t="s">
        <v>1277</v>
      </c>
      <c r="G244" s="701">
        <v>1000</v>
      </c>
      <c r="H244" s="12" t="s">
        <v>997</v>
      </c>
      <c r="I244" s="12" t="s">
        <v>937</v>
      </c>
      <c r="J244" s="12" t="s">
        <v>894</v>
      </c>
      <c r="K244" s="12" t="s">
        <v>891</v>
      </c>
      <c r="L244" s="12"/>
      <c r="M244" s="11"/>
      <c r="N244" s="11"/>
      <c r="O244" s="11"/>
      <c r="P244" s="11"/>
    </row>
    <row r="245" spans="1:16" x14ac:dyDescent="0.25">
      <c r="A245" s="696">
        <v>56152</v>
      </c>
      <c r="B245" s="696">
        <v>1000</v>
      </c>
      <c r="C245" s="696">
        <v>100</v>
      </c>
      <c r="D245" s="696">
        <v>1000</v>
      </c>
      <c r="F245" s="700" t="s">
        <v>1278</v>
      </c>
      <c r="G245" s="701">
        <v>61537.62</v>
      </c>
      <c r="H245" s="12" t="s">
        <v>889</v>
      </c>
      <c r="I245" s="12" t="s">
        <v>893</v>
      </c>
      <c r="J245" s="12" t="s">
        <v>894</v>
      </c>
      <c r="K245" s="12" t="s">
        <v>891</v>
      </c>
      <c r="L245" s="12"/>
      <c r="M245" s="11"/>
      <c r="N245" s="11"/>
      <c r="O245" s="11"/>
      <c r="P245" s="11"/>
    </row>
    <row r="246" spans="1:16" x14ac:dyDescent="0.25">
      <c r="A246" s="696">
        <v>56152</v>
      </c>
      <c r="B246" s="696">
        <v>1012</v>
      </c>
      <c r="C246" s="696">
        <v>100</v>
      </c>
      <c r="D246" s="696">
        <v>1000</v>
      </c>
      <c r="F246" s="700" t="s">
        <v>1278</v>
      </c>
      <c r="G246" s="701">
        <v>9660</v>
      </c>
      <c r="H246" s="12" t="s">
        <v>890</v>
      </c>
      <c r="I246" s="12" t="s">
        <v>893</v>
      </c>
      <c r="J246" s="12" t="s">
        <v>894</v>
      </c>
      <c r="K246" s="12" t="s">
        <v>891</v>
      </c>
      <c r="L246" s="12"/>
      <c r="M246" s="11"/>
      <c r="N246" s="11"/>
      <c r="O246" s="11"/>
      <c r="P246" s="11"/>
    </row>
    <row r="247" spans="1:16" x14ac:dyDescent="0.25">
      <c r="A247" s="696">
        <v>56157</v>
      </c>
      <c r="B247" s="696">
        <v>1000</v>
      </c>
      <c r="C247" s="696">
        <v>100</v>
      </c>
      <c r="D247" s="696">
        <v>2200</v>
      </c>
      <c r="F247" s="700" t="s">
        <v>1279</v>
      </c>
      <c r="G247" s="701">
        <v>140</v>
      </c>
      <c r="H247" s="12" t="s">
        <v>889</v>
      </c>
      <c r="I247" s="12" t="s">
        <v>893</v>
      </c>
      <c r="J247" s="12" t="s">
        <v>906</v>
      </c>
      <c r="K247" s="12" t="s">
        <v>891</v>
      </c>
      <c r="L247" s="12"/>
      <c r="M247" s="11"/>
      <c r="N247" s="11"/>
      <c r="O247" s="11"/>
      <c r="P247" s="11"/>
    </row>
    <row r="248" spans="1:16" x14ac:dyDescent="0.25">
      <c r="A248" s="696">
        <v>56157</v>
      </c>
      <c r="B248" s="696">
        <v>1531</v>
      </c>
      <c r="C248" s="696">
        <v>100</v>
      </c>
      <c r="D248" s="696">
        <v>2200</v>
      </c>
      <c r="F248" s="700" t="s">
        <v>1279</v>
      </c>
      <c r="G248" s="701">
        <v>280</v>
      </c>
      <c r="H248" s="12" t="s">
        <v>997</v>
      </c>
      <c r="I248" s="12" t="s">
        <v>893</v>
      </c>
      <c r="J248" s="12" t="s">
        <v>906</v>
      </c>
      <c r="K248" s="12" t="s">
        <v>891</v>
      </c>
      <c r="L248" s="12"/>
      <c r="M248" s="11"/>
      <c r="N248" s="11"/>
      <c r="O248" s="11"/>
      <c r="P248" s="11"/>
    </row>
    <row r="249" spans="1:16" x14ac:dyDescent="0.25">
      <c r="A249" s="696">
        <v>56162</v>
      </c>
      <c r="B249" s="696">
        <v>1000</v>
      </c>
      <c r="C249" s="696">
        <v>100</v>
      </c>
      <c r="D249" s="696">
        <v>1000</v>
      </c>
      <c r="F249" s="700" t="s">
        <v>1280</v>
      </c>
      <c r="G249" s="701">
        <v>500</v>
      </c>
      <c r="H249" s="12" t="s">
        <v>889</v>
      </c>
      <c r="I249" s="12" t="s">
        <v>893</v>
      </c>
      <c r="J249" s="12" t="s">
        <v>894</v>
      </c>
      <c r="K249" s="12" t="s">
        <v>891</v>
      </c>
      <c r="L249" s="12"/>
      <c r="M249" s="11"/>
      <c r="N249" s="11"/>
      <c r="O249" s="11"/>
      <c r="P249" s="11"/>
    </row>
    <row r="250" spans="1:16" x14ac:dyDescent="0.25">
      <c r="A250" s="696">
        <v>56162</v>
      </c>
      <c r="B250" s="696">
        <v>1000</v>
      </c>
      <c r="C250" s="696">
        <v>100</v>
      </c>
      <c r="D250" s="696">
        <v>2500</v>
      </c>
      <c r="F250" s="700" t="s">
        <v>1280</v>
      </c>
      <c r="G250" s="701">
        <v>5.03</v>
      </c>
      <c r="H250" s="12" t="s">
        <v>889</v>
      </c>
      <c r="I250" s="12" t="s">
        <v>893</v>
      </c>
      <c r="J250" s="12" t="s">
        <v>926</v>
      </c>
      <c r="K250" s="12" t="s">
        <v>891</v>
      </c>
      <c r="L250" s="12"/>
      <c r="M250" s="11"/>
      <c r="N250" s="11"/>
      <c r="O250" s="11"/>
      <c r="P250" s="11"/>
    </row>
    <row r="251" spans="1:16" x14ac:dyDescent="0.25">
      <c r="A251" s="696">
        <v>56162</v>
      </c>
      <c r="B251" s="696">
        <v>1769</v>
      </c>
      <c r="C251" s="696">
        <v>615</v>
      </c>
      <c r="D251" s="696">
        <v>1000</v>
      </c>
      <c r="F251" s="700" t="s">
        <v>1280</v>
      </c>
      <c r="G251" s="701">
        <v>500</v>
      </c>
      <c r="H251" s="12" t="s">
        <v>997</v>
      </c>
      <c r="I251" s="12" t="s">
        <v>937</v>
      </c>
      <c r="J251" s="12" t="s">
        <v>894</v>
      </c>
      <c r="K251" s="12" t="s">
        <v>891</v>
      </c>
      <c r="L251" s="12"/>
      <c r="M251" s="11"/>
      <c r="N251" s="11"/>
      <c r="O251" s="11"/>
      <c r="P251" s="11"/>
    </row>
    <row r="252" spans="1:16" x14ac:dyDescent="0.25">
      <c r="A252" s="696">
        <v>56210</v>
      </c>
      <c r="B252" s="696">
        <v>1000</v>
      </c>
      <c r="C252" s="696">
        <v>100</v>
      </c>
      <c r="D252" s="696">
        <v>1000</v>
      </c>
      <c r="F252" s="700" t="s">
        <v>1281</v>
      </c>
      <c r="G252" s="701">
        <v>310491.09000000003</v>
      </c>
      <c r="H252" s="12" t="s">
        <v>889</v>
      </c>
      <c r="I252" s="12" t="s">
        <v>893</v>
      </c>
      <c r="J252" s="12" t="s">
        <v>894</v>
      </c>
      <c r="K252" s="12" t="s">
        <v>895</v>
      </c>
      <c r="L252" s="12"/>
      <c r="M252" s="11"/>
      <c r="N252" s="11"/>
      <c r="O252" s="11"/>
      <c r="P252" s="11"/>
    </row>
    <row r="253" spans="1:16" x14ac:dyDescent="0.25">
      <c r="A253" s="696">
        <v>56210</v>
      </c>
      <c r="B253" s="696">
        <v>1000</v>
      </c>
      <c r="C253" s="696">
        <v>100</v>
      </c>
      <c r="D253" s="696">
        <v>2100</v>
      </c>
      <c r="F253" s="700" t="s">
        <v>1281</v>
      </c>
      <c r="G253" s="701">
        <v>127848.78</v>
      </c>
      <c r="H253" s="12" t="s">
        <v>889</v>
      </c>
      <c r="I253" s="12" t="s">
        <v>893</v>
      </c>
      <c r="J253" s="12" t="s">
        <v>902</v>
      </c>
      <c r="K253" s="12" t="s">
        <v>895</v>
      </c>
      <c r="L253" s="12"/>
      <c r="M253" s="11"/>
      <c r="N253" s="11"/>
      <c r="O253" s="11"/>
      <c r="P253" s="11"/>
    </row>
    <row r="254" spans="1:16" x14ac:dyDescent="0.25">
      <c r="A254" s="696">
        <v>56210</v>
      </c>
      <c r="B254" s="696">
        <v>1000</v>
      </c>
      <c r="C254" s="696">
        <v>100</v>
      </c>
      <c r="D254" s="696">
        <v>2110</v>
      </c>
      <c r="F254" s="700" t="s">
        <v>1281</v>
      </c>
      <c r="G254" s="701">
        <v>3088.51</v>
      </c>
      <c r="H254" s="12" t="s">
        <v>889</v>
      </c>
      <c r="I254" s="12" t="s">
        <v>893</v>
      </c>
      <c r="J254" s="12" t="s">
        <v>902</v>
      </c>
      <c r="K254" s="12" t="s">
        <v>895</v>
      </c>
      <c r="L254" s="12"/>
      <c r="M254" s="11"/>
      <c r="N254" s="11"/>
      <c r="O254" s="11"/>
      <c r="P254" s="11"/>
    </row>
    <row r="255" spans="1:16" x14ac:dyDescent="0.25">
      <c r="A255" s="696">
        <v>56210</v>
      </c>
      <c r="B255" s="696">
        <v>1000</v>
      </c>
      <c r="C255" s="696">
        <v>100</v>
      </c>
      <c r="D255" s="696">
        <v>2200</v>
      </c>
      <c r="F255" s="700" t="s">
        <v>1281</v>
      </c>
      <c r="G255" s="701">
        <v>28430.45</v>
      </c>
      <c r="H255" s="12" t="s">
        <v>889</v>
      </c>
      <c r="I255" s="12" t="s">
        <v>893</v>
      </c>
      <c r="J255" s="12" t="s">
        <v>906</v>
      </c>
      <c r="K255" s="12" t="s">
        <v>895</v>
      </c>
      <c r="L255" s="12"/>
      <c r="M255" s="11"/>
      <c r="N255" s="11"/>
      <c r="O255" s="11"/>
      <c r="P255" s="11"/>
    </row>
    <row r="256" spans="1:16" x14ac:dyDescent="0.25">
      <c r="A256" s="696">
        <v>56210</v>
      </c>
      <c r="B256" s="696">
        <v>1000</v>
      </c>
      <c r="C256" s="696">
        <v>100</v>
      </c>
      <c r="D256" s="696">
        <v>2300</v>
      </c>
      <c r="F256" s="700" t="s">
        <v>1281</v>
      </c>
      <c r="G256" s="701">
        <v>4687.49</v>
      </c>
      <c r="H256" s="12" t="s">
        <v>889</v>
      </c>
      <c r="I256" s="12" t="s">
        <v>893</v>
      </c>
      <c r="J256" s="12" t="s">
        <v>918</v>
      </c>
      <c r="K256" s="12" t="s">
        <v>895</v>
      </c>
      <c r="L256" s="12"/>
      <c r="M256" s="11"/>
      <c r="N256" s="11"/>
      <c r="O256" s="11"/>
      <c r="P256" s="11"/>
    </row>
    <row r="257" spans="1:16" x14ac:dyDescent="0.25">
      <c r="A257" s="696">
        <v>56210</v>
      </c>
      <c r="B257" s="696">
        <v>1000</v>
      </c>
      <c r="C257" s="696">
        <v>100</v>
      </c>
      <c r="D257" s="696">
        <v>2310</v>
      </c>
      <c r="F257" s="700" t="s">
        <v>1281</v>
      </c>
      <c r="G257" s="701">
        <v>1547.46</v>
      </c>
      <c r="H257" s="12" t="s">
        <v>889</v>
      </c>
      <c r="I257" s="12" t="s">
        <v>893</v>
      </c>
      <c r="J257" s="12" t="s">
        <v>918</v>
      </c>
      <c r="K257" s="12" t="s">
        <v>895</v>
      </c>
      <c r="L257" s="12"/>
      <c r="M257" s="11"/>
      <c r="N257" s="11"/>
      <c r="O257" s="11"/>
      <c r="P257" s="11"/>
    </row>
    <row r="258" spans="1:16" x14ac:dyDescent="0.25">
      <c r="A258" s="696">
        <v>56210</v>
      </c>
      <c r="B258" s="696">
        <v>1000</v>
      </c>
      <c r="C258" s="696">
        <v>100</v>
      </c>
      <c r="D258" s="696">
        <v>2400</v>
      </c>
      <c r="F258" s="700" t="s">
        <v>1281</v>
      </c>
      <c r="G258" s="701">
        <v>24238.45</v>
      </c>
      <c r="H258" s="12" t="s">
        <v>889</v>
      </c>
      <c r="I258" s="12" t="s">
        <v>893</v>
      </c>
      <c r="J258" s="12" t="s">
        <v>922</v>
      </c>
      <c r="K258" s="12" t="s">
        <v>895</v>
      </c>
      <c r="L258" s="12"/>
      <c r="M258" s="11"/>
      <c r="N258" s="11"/>
      <c r="O258" s="11"/>
      <c r="P258" s="11"/>
    </row>
    <row r="259" spans="1:16" x14ac:dyDescent="0.25">
      <c r="A259" s="696">
        <v>56210</v>
      </c>
      <c r="B259" s="696">
        <v>1000</v>
      </c>
      <c r="C259" s="696">
        <v>100</v>
      </c>
      <c r="D259" s="696">
        <v>2410</v>
      </c>
      <c r="F259" s="700" t="s">
        <v>1281</v>
      </c>
      <c r="G259" s="701">
        <v>2762.5</v>
      </c>
      <c r="H259" s="12" t="s">
        <v>889</v>
      </c>
      <c r="I259" s="12" t="s">
        <v>893</v>
      </c>
      <c r="J259" s="12" t="s">
        <v>922</v>
      </c>
      <c r="K259" s="12" t="s">
        <v>895</v>
      </c>
      <c r="L259" s="12"/>
      <c r="M259" s="11"/>
      <c r="N259" s="11"/>
      <c r="O259" s="11"/>
      <c r="P259" s="11"/>
    </row>
    <row r="260" spans="1:16" x14ac:dyDescent="0.25">
      <c r="A260" s="696">
        <v>56210</v>
      </c>
      <c r="B260" s="696">
        <v>1000</v>
      </c>
      <c r="C260" s="696">
        <v>100</v>
      </c>
      <c r="D260" s="696">
        <v>2500</v>
      </c>
      <c r="F260" s="700" t="s">
        <v>1281</v>
      </c>
      <c r="G260" s="701">
        <v>1581635.06</v>
      </c>
      <c r="H260" s="12" t="s">
        <v>889</v>
      </c>
      <c r="I260" s="12" t="s">
        <v>893</v>
      </c>
      <c r="J260" s="12" t="s">
        <v>926</v>
      </c>
      <c r="K260" s="12" t="s">
        <v>895</v>
      </c>
      <c r="L260" s="12"/>
      <c r="M260" s="11"/>
      <c r="N260" s="11"/>
      <c r="O260" s="11"/>
      <c r="P260" s="11"/>
    </row>
    <row r="261" spans="1:16" x14ac:dyDescent="0.25">
      <c r="A261" s="696">
        <v>56210</v>
      </c>
      <c r="B261" s="696">
        <v>1000</v>
      </c>
      <c r="C261" s="696">
        <v>100</v>
      </c>
      <c r="D261" s="696">
        <v>2510</v>
      </c>
      <c r="F261" s="700" t="s">
        <v>1281</v>
      </c>
      <c r="G261" s="701">
        <v>1624.51</v>
      </c>
      <c r="H261" s="12" t="s">
        <v>889</v>
      </c>
      <c r="I261" s="12" t="s">
        <v>893</v>
      </c>
      <c r="J261" s="12" t="s">
        <v>926</v>
      </c>
      <c r="K261" s="12" t="s">
        <v>895</v>
      </c>
      <c r="L261" s="12"/>
      <c r="M261" s="11"/>
      <c r="N261" s="11"/>
      <c r="O261" s="11"/>
      <c r="P261" s="11"/>
    </row>
    <row r="262" spans="1:16" x14ac:dyDescent="0.25">
      <c r="A262" s="696">
        <v>56210</v>
      </c>
      <c r="B262" s="696">
        <v>1000</v>
      </c>
      <c r="C262" s="696">
        <v>100</v>
      </c>
      <c r="D262" s="696">
        <v>2600</v>
      </c>
      <c r="F262" s="700" t="s">
        <v>1281</v>
      </c>
      <c r="G262" s="701">
        <v>4719.7</v>
      </c>
      <c r="H262" s="12" t="s">
        <v>889</v>
      </c>
      <c r="I262" s="12" t="s">
        <v>893</v>
      </c>
      <c r="J262" s="12" t="s">
        <v>930</v>
      </c>
      <c r="K262" s="12" t="s">
        <v>895</v>
      </c>
      <c r="L262" s="12"/>
      <c r="M262" s="11"/>
      <c r="N262" s="11"/>
      <c r="O262" s="11"/>
      <c r="P262" s="11"/>
    </row>
    <row r="263" spans="1:16" x14ac:dyDescent="0.25">
      <c r="A263" s="696">
        <v>56210</v>
      </c>
      <c r="B263" s="696">
        <v>1000</v>
      </c>
      <c r="C263" s="696">
        <v>100</v>
      </c>
      <c r="D263" s="696">
        <v>2700</v>
      </c>
      <c r="F263" s="700" t="s">
        <v>1281</v>
      </c>
      <c r="G263" s="701">
        <v>-382.6</v>
      </c>
      <c r="H263" s="12" t="s">
        <v>889</v>
      </c>
      <c r="I263" s="12" t="s">
        <v>913</v>
      </c>
      <c r="J263" s="12" t="s">
        <v>934</v>
      </c>
      <c r="K263" s="12" t="s">
        <v>895</v>
      </c>
      <c r="L263" s="12"/>
      <c r="M263" s="11"/>
      <c r="N263" s="11"/>
      <c r="O263" s="11"/>
      <c r="P263" s="11"/>
    </row>
    <row r="264" spans="1:16" x14ac:dyDescent="0.25">
      <c r="A264" s="696">
        <v>56210</v>
      </c>
      <c r="B264" s="696">
        <v>1000</v>
      </c>
      <c r="C264" s="696">
        <v>100</v>
      </c>
      <c r="D264" s="696">
        <v>3100</v>
      </c>
      <c r="F264" s="700" t="s">
        <v>1281</v>
      </c>
      <c r="G264" s="701">
        <v>1590.74</v>
      </c>
      <c r="H264" s="12" t="s">
        <v>889</v>
      </c>
      <c r="I264" s="12" t="s">
        <v>893</v>
      </c>
      <c r="J264" s="12" t="s">
        <v>942</v>
      </c>
      <c r="K264" s="12" t="s">
        <v>895</v>
      </c>
      <c r="L264" s="12"/>
      <c r="M264" s="11"/>
      <c r="N264" s="11"/>
      <c r="O264" s="11"/>
      <c r="P264" s="11"/>
    </row>
    <row r="265" spans="1:16" x14ac:dyDescent="0.25">
      <c r="A265" s="696">
        <v>56210</v>
      </c>
      <c r="B265" s="696">
        <v>1000</v>
      </c>
      <c r="C265" s="696">
        <v>200</v>
      </c>
      <c r="D265" s="696">
        <v>1000</v>
      </c>
      <c r="F265" s="700" t="s">
        <v>1281</v>
      </c>
      <c r="G265" s="701">
        <v>20263.66</v>
      </c>
      <c r="H265" s="12" t="s">
        <v>889</v>
      </c>
      <c r="I265" s="12" t="s">
        <v>897</v>
      </c>
      <c r="J265" s="12" t="s">
        <v>894</v>
      </c>
      <c r="K265" s="12" t="s">
        <v>895</v>
      </c>
      <c r="L265" s="12"/>
      <c r="M265" s="11"/>
      <c r="N265" s="11"/>
      <c r="O265" s="11"/>
      <c r="P265" s="11"/>
    </row>
    <row r="266" spans="1:16" x14ac:dyDescent="0.25">
      <c r="A266" s="696">
        <v>56210</v>
      </c>
      <c r="B266" s="696">
        <v>1000</v>
      </c>
      <c r="C266" s="696">
        <v>200</v>
      </c>
      <c r="D266" s="696">
        <v>2100</v>
      </c>
      <c r="F266" s="700" t="s">
        <v>1281</v>
      </c>
      <c r="G266" s="701">
        <v>-431.33</v>
      </c>
      <c r="H266" s="12" t="s">
        <v>889</v>
      </c>
      <c r="I266" s="12" t="s">
        <v>897</v>
      </c>
      <c r="J266" s="12" t="s">
        <v>902</v>
      </c>
      <c r="K266" s="12" t="s">
        <v>895</v>
      </c>
      <c r="L266" s="12"/>
      <c r="M266" s="11"/>
      <c r="N266" s="11"/>
      <c r="O266" s="11"/>
      <c r="P266" s="11"/>
    </row>
    <row r="267" spans="1:16" x14ac:dyDescent="0.25">
      <c r="A267" s="696">
        <v>56210</v>
      </c>
      <c r="B267" s="696">
        <v>1000</v>
      </c>
      <c r="C267" s="696">
        <v>200</v>
      </c>
      <c r="D267" s="696">
        <v>2200</v>
      </c>
      <c r="F267" s="700" t="s">
        <v>1281</v>
      </c>
      <c r="G267" s="701">
        <v>5375</v>
      </c>
      <c r="H267" s="12" t="s">
        <v>889</v>
      </c>
      <c r="I267" s="12" t="s">
        <v>897</v>
      </c>
      <c r="J267" s="12" t="s">
        <v>906</v>
      </c>
      <c r="K267" s="12" t="s">
        <v>895</v>
      </c>
      <c r="L267" s="12"/>
      <c r="M267" s="11"/>
      <c r="N267" s="11"/>
      <c r="O267" s="11"/>
      <c r="P267" s="11"/>
    </row>
    <row r="268" spans="1:16" x14ac:dyDescent="0.25">
      <c r="A268" s="696">
        <v>56210</v>
      </c>
      <c r="B268" s="696">
        <v>1000</v>
      </c>
      <c r="C268" s="696">
        <v>200</v>
      </c>
      <c r="D268" s="696">
        <v>2500</v>
      </c>
      <c r="F268" s="700" t="s">
        <v>1281</v>
      </c>
      <c r="G268" s="701">
        <v>-510.22</v>
      </c>
      <c r="H268" s="12" t="s">
        <v>889</v>
      </c>
      <c r="I268" s="12" t="s">
        <v>897</v>
      </c>
      <c r="J268" s="12" t="s">
        <v>926</v>
      </c>
      <c r="K268" s="12" t="s">
        <v>895</v>
      </c>
      <c r="L268" s="12"/>
      <c r="M268" s="11"/>
      <c r="N268" s="11"/>
      <c r="O268" s="11"/>
      <c r="P268" s="11"/>
    </row>
    <row r="269" spans="1:16" x14ac:dyDescent="0.25">
      <c r="A269" s="696">
        <v>56210</v>
      </c>
      <c r="B269" s="696">
        <v>1000</v>
      </c>
      <c r="C269" s="696">
        <v>240</v>
      </c>
      <c r="D269" s="696">
        <v>1000</v>
      </c>
      <c r="F269" s="700" t="s">
        <v>1281</v>
      </c>
      <c r="G269" s="701">
        <v>1289.8499999999999</v>
      </c>
      <c r="H269" s="12" t="s">
        <v>889</v>
      </c>
      <c r="I269" s="12" t="s">
        <v>897</v>
      </c>
      <c r="J269" s="12" t="s">
        <v>894</v>
      </c>
      <c r="K269" s="12" t="s">
        <v>895</v>
      </c>
      <c r="L269" s="12"/>
      <c r="M269" s="11"/>
      <c r="N269" s="11"/>
      <c r="O269" s="11"/>
      <c r="P269" s="11"/>
    </row>
    <row r="270" spans="1:16" x14ac:dyDescent="0.25">
      <c r="A270" s="696">
        <v>56210</v>
      </c>
      <c r="B270" s="696">
        <v>1000</v>
      </c>
      <c r="C270" s="696">
        <v>260</v>
      </c>
      <c r="D270" s="696">
        <v>1000</v>
      </c>
      <c r="F270" s="700" t="s">
        <v>1281</v>
      </c>
      <c r="G270" s="701">
        <v>2974.73</v>
      </c>
      <c r="H270" s="12" t="s">
        <v>896</v>
      </c>
      <c r="I270" s="12" t="s">
        <v>901</v>
      </c>
      <c r="J270" s="12" t="s">
        <v>894</v>
      </c>
      <c r="K270" s="12" t="s">
        <v>895</v>
      </c>
      <c r="L270" s="12"/>
      <c r="M270" s="11"/>
      <c r="N270" s="11"/>
      <c r="O270" s="11"/>
      <c r="P270" s="11"/>
    </row>
    <row r="271" spans="1:16" x14ac:dyDescent="0.25">
      <c r="A271" s="696">
        <v>56210</v>
      </c>
      <c r="B271" s="696">
        <v>1000</v>
      </c>
      <c r="C271" s="696">
        <v>400</v>
      </c>
      <c r="D271" s="696">
        <v>2700</v>
      </c>
      <c r="F271" s="700" t="s">
        <v>1281</v>
      </c>
      <c r="G271" s="701">
        <v>374.83</v>
      </c>
      <c r="H271" s="12" t="s">
        <v>889</v>
      </c>
      <c r="I271" s="12" t="s">
        <v>913</v>
      </c>
      <c r="J271" s="12" t="s">
        <v>934</v>
      </c>
      <c r="K271" s="12" t="s">
        <v>895</v>
      </c>
      <c r="L271" s="12"/>
      <c r="M271" s="11"/>
      <c r="N271" s="11"/>
      <c r="O271" s="11"/>
      <c r="P271" s="11"/>
    </row>
    <row r="272" spans="1:16" x14ac:dyDescent="0.25">
      <c r="A272" s="696">
        <v>56210</v>
      </c>
      <c r="B272" s="696">
        <v>1000</v>
      </c>
      <c r="C272" s="696">
        <v>615</v>
      </c>
      <c r="D272" s="696">
        <v>1000</v>
      </c>
      <c r="F272" s="700" t="s">
        <v>1281</v>
      </c>
      <c r="G272" s="701">
        <v>71.900000000000006</v>
      </c>
      <c r="H272" s="12" t="s">
        <v>889</v>
      </c>
      <c r="I272" s="12" t="s">
        <v>937</v>
      </c>
      <c r="J272" s="12" t="s">
        <v>894</v>
      </c>
      <c r="K272" s="12" t="s">
        <v>895</v>
      </c>
      <c r="L272" s="12"/>
      <c r="M272" s="11"/>
      <c r="N272" s="11"/>
      <c r="O272" s="11"/>
      <c r="P272" s="11"/>
    </row>
    <row r="273" spans="1:16" x14ac:dyDescent="0.25">
      <c r="A273" s="696">
        <v>56210</v>
      </c>
      <c r="B273" s="696">
        <v>1220</v>
      </c>
      <c r="C273" s="696">
        <v>200</v>
      </c>
      <c r="D273" s="696">
        <v>1000</v>
      </c>
      <c r="F273" s="700" t="s">
        <v>1281</v>
      </c>
      <c r="G273" s="701">
        <v>6166.96</v>
      </c>
      <c r="H273" s="12" t="s">
        <v>932</v>
      </c>
      <c r="I273" s="12" t="s">
        <v>897</v>
      </c>
      <c r="J273" s="12" t="s">
        <v>894</v>
      </c>
      <c r="K273" s="12" t="s">
        <v>895</v>
      </c>
      <c r="L273" s="12"/>
      <c r="M273" s="11"/>
      <c r="N273" s="11"/>
      <c r="O273" s="11"/>
      <c r="P273" s="11"/>
    </row>
    <row r="274" spans="1:16" x14ac:dyDescent="0.25">
      <c r="A274" s="696">
        <v>56210</v>
      </c>
      <c r="B274" s="696">
        <v>1220</v>
      </c>
      <c r="C274" s="696">
        <v>200</v>
      </c>
      <c r="D274" s="696">
        <v>2100</v>
      </c>
      <c r="F274" s="700" t="s">
        <v>1281</v>
      </c>
      <c r="G274" s="701">
        <v>19926.48</v>
      </c>
      <c r="H274" s="12" t="s">
        <v>932</v>
      </c>
      <c r="I274" s="12" t="s">
        <v>897</v>
      </c>
      <c r="J274" s="12" t="s">
        <v>902</v>
      </c>
      <c r="K274" s="12" t="s">
        <v>895</v>
      </c>
      <c r="L274" s="12"/>
      <c r="M274" s="11"/>
      <c r="N274" s="11"/>
      <c r="O274" s="11"/>
      <c r="P274" s="11"/>
    </row>
    <row r="275" spans="1:16" x14ac:dyDescent="0.25">
      <c r="A275" s="696">
        <v>56210</v>
      </c>
      <c r="B275" s="696">
        <v>1321</v>
      </c>
      <c r="C275" s="696">
        <v>100</v>
      </c>
      <c r="D275" s="696">
        <v>1000</v>
      </c>
      <c r="F275" s="700" t="s">
        <v>1281</v>
      </c>
      <c r="G275" s="701">
        <v>0</v>
      </c>
      <c r="H275" s="12" t="s">
        <v>968</v>
      </c>
      <c r="I275" s="12" t="s">
        <v>893</v>
      </c>
      <c r="J275" s="12" t="s">
        <v>894</v>
      </c>
      <c r="K275" s="12" t="s">
        <v>895</v>
      </c>
      <c r="L275" s="12"/>
      <c r="M275" s="11"/>
      <c r="N275" s="11"/>
      <c r="O275" s="11"/>
      <c r="P275" s="11"/>
    </row>
    <row r="276" spans="1:16" x14ac:dyDescent="0.25">
      <c r="A276" s="696">
        <v>56211</v>
      </c>
      <c r="B276" s="696">
        <v>1321</v>
      </c>
      <c r="C276" s="696">
        <v>100</v>
      </c>
      <c r="D276" s="696">
        <v>1000</v>
      </c>
      <c r="F276" s="700" t="s">
        <v>1282</v>
      </c>
      <c r="G276" s="701">
        <v>0</v>
      </c>
      <c r="H276" s="12" t="s">
        <v>968</v>
      </c>
      <c r="I276" s="12" t="s">
        <v>893</v>
      </c>
      <c r="J276" s="12" t="s">
        <v>894</v>
      </c>
      <c r="K276" s="12" t="s">
        <v>895</v>
      </c>
      <c r="L276" s="12"/>
      <c r="M276" s="11"/>
      <c r="N276" s="11"/>
      <c r="O276" s="11"/>
      <c r="P276" s="11"/>
    </row>
    <row r="277" spans="1:16" x14ac:dyDescent="0.25">
      <c r="A277" s="696">
        <v>56212</v>
      </c>
      <c r="B277" s="696">
        <v>1321</v>
      </c>
      <c r="C277" s="696">
        <v>100</v>
      </c>
      <c r="D277" s="696">
        <v>1000</v>
      </c>
      <c r="F277" s="700" t="s">
        <v>1283</v>
      </c>
      <c r="G277" s="701">
        <v>0</v>
      </c>
      <c r="H277" s="12" t="s">
        <v>968</v>
      </c>
      <c r="I277" s="12" t="s">
        <v>893</v>
      </c>
      <c r="J277" s="12" t="s">
        <v>894</v>
      </c>
      <c r="K277" s="12" t="s">
        <v>895</v>
      </c>
      <c r="L277" s="12"/>
      <c r="M277" s="11"/>
      <c r="N277" s="11"/>
      <c r="O277" s="11"/>
      <c r="P277" s="11"/>
    </row>
    <row r="278" spans="1:16" x14ac:dyDescent="0.25">
      <c r="A278" s="696">
        <v>56213</v>
      </c>
      <c r="B278" s="696">
        <v>1321</v>
      </c>
      <c r="C278" s="696">
        <v>100</v>
      </c>
      <c r="D278" s="696">
        <v>1000</v>
      </c>
      <c r="F278" s="700" t="s">
        <v>1284</v>
      </c>
      <c r="G278" s="701">
        <v>0</v>
      </c>
      <c r="H278" s="12" t="s">
        <v>968</v>
      </c>
      <c r="I278" s="12" t="s">
        <v>893</v>
      </c>
      <c r="J278" s="12" t="s">
        <v>894</v>
      </c>
      <c r="K278" s="12" t="s">
        <v>895</v>
      </c>
      <c r="L278" s="12"/>
      <c r="M278" s="11"/>
      <c r="N278" s="11"/>
      <c r="O278" s="11"/>
      <c r="P278" s="11"/>
    </row>
    <row r="279" spans="1:16" x14ac:dyDescent="0.25">
      <c r="A279" s="696">
        <v>56214</v>
      </c>
      <c r="B279" s="696">
        <v>1321</v>
      </c>
      <c r="C279" s="696">
        <v>100</v>
      </c>
      <c r="D279" s="696">
        <v>1000</v>
      </c>
      <c r="F279" s="700" t="s">
        <v>1285</v>
      </c>
      <c r="G279" s="701">
        <v>0</v>
      </c>
      <c r="H279" s="12" t="s">
        <v>968</v>
      </c>
      <c r="I279" s="12" t="s">
        <v>893</v>
      </c>
      <c r="J279" s="12" t="s">
        <v>894</v>
      </c>
      <c r="K279" s="12" t="s">
        <v>895</v>
      </c>
      <c r="L279" s="12"/>
      <c r="M279" s="11"/>
      <c r="N279" s="11"/>
      <c r="O279" s="11"/>
      <c r="P279" s="11"/>
    </row>
    <row r="280" spans="1:16" x14ac:dyDescent="0.25">
      <c r="A280" s="696">
        <v>56221</v>
      </c>
      <c r="B280" s="696">
        <v>1321</v>
      </c>
      <c r="C280" s="696">
        <v>100</v>
      </c>
      <c r="D280" s="696">
        <v>1000</v>
      </c>
      <c r="F280" s="700" t="s">
        <v>1286</v>
      </c>
      <c r="G280" s="701">
        <v>0</v>
      </c>
      <c r="H280" s="12" t="s">
        <v>968</v>
      </c>
      <c r="I280" s="12" t="s">
        <v>893</v>
      </c>
      <c r="J280" s="12" t="s">
        <v>894</v>
      </c>
      <c r="K280" s="12" t="s">
        <v>895</v>
      </c>
      <c r="L280" s="12"/>
      <c r="M280" s="11"/>
      <c r="N280" s="11"/>
      <c r="O280" s="11"/>
      <c r="P280" s="11"/>
    </row>
    <row r="281" spans="1:16" x14ac:dyDescent="0.25">
      <c r="A281" s="696">
        <v>56210</v>
      </c>
      <c r="B281" s="696">
        <v>1487</v>
      </c>
      <c r="C281" s="696">
        <v>100</v>
      </c>
      <c r="D281" s="696">
        <v>2100</v>
      </c>
      <c r="F281" s="700" t="s">
        <v>1281</v>
      </c>
      <c r="G281" s="701">
        <v>6061.32</v>
      </c>
      <c r="H281" s="12" t="s">
        <v>995</v>
      </c>
      <c r="I281" s="12" t="s">
        <v>893</v>
      </c>
      <c r="J281" s="12" t="s">
        <v>902</v>
      </c>
      <c r="K281" s="12" t="s">
        <v>895</v>
      </c>
      <c r="L281" s="12"/>
      <c r="M281" s="11"/>
      <c r="N281" s="11"/>
      <c r="O281" s="11"/>
      <c r="P281" s="11"/>
    </row>
    <row r="282" spans="1:16" x14ac:dyDescent="0.25">
      <c r="A282" s="696">
        <v>56210</v>
      </c>
      <c r="B282" s="696">
        <v>1531</v>
      </c>
      <c r="C282" s="696">
        <v>100</v>
      </c>
      <c r="D282" s="696">
        <v>2200</v>
      </c>
      <c r="F282" s="700" t="s">
        <v>1281</v>
      </c>
      <c r="G282" s="701">
        <v>41388.480000000003</v>
      </c>
      <c r="H282" s="12" t="s">
        <v>997</v>
      </c>
      <c r="I282" s="12" t="s">
        <v>893</v>
      </c>
      <c r="J282" s="12" t="s">
        <v>906</v>
      </c>
      <c r="K282" s="12" t="s">
        <v>895</v>
      </c>
      <c r="L282" s="12"/>
      <c r="M282" s="11"/>
      <c r="N282" s="11"/>
      <c r="O282" s="11"/>
      <c r="P282" s="11"/>
    </row>
    <row r="283" spans="1:16" x14ac:dyDescent="0.25">
      <c r="A283" s="696">
        <v>56210</v>
      </c>
      <c r="B283" s="696">
        <v>1531</v>
      </c>
      <c r="C283" s="696">
        <v>100</v>
      </c>
      <c r="D283" s="696">
        <v>2500</v>
      </c>
      <c r="F283" s="700" t="s">
        <v>1281</v>
      </c>
      <c r="G283" s="701">
        <v>9.7200000000000006</v>
      </c>
      <c r="H283" s="12" t="s">
        <v>997</v>
      </c>
      <c r="I283" s="12" t="s">
        <v>893</v>
      </c>
      <c r="J283" s="12" t="s">
        <v>926</v>
      </c>
      <c r="K283" s="12" t="s">
        <v>895</v>
      </c>
      <c r="L283" s="12"/>
      <c r="M283" s="11"/>
      <c r="N283" s="11"/>
      <c r="O283" s="11"/>
      <c r="P283" s="11"/>
    </row>
    <row r="284" spans="1:16" x14ac:dyDescent="0.25">
      <c r="A284" s="696">
        <v>56210</v>
      </c>
      <c r="B284" s="696">
        <v>1532</v>
      </c>
      <c r="C284" s="696">
        <v>100</v>
      </c>
      <c r="D284" s="696">
        <v>1000</v>
      </c>
      <c r="F284" s="700" t="s">
        <v>1281</v>
      </c>
      <c r="G284" s="701">
        <v>6441.86</v>
      </c>
      <c r="H284" s="12" t="s">
        <v>997</v>
      </c>
      <c r="I284" s="12" t="s">
        <v>893</v>
      </c>
      <c r="J284" s="12" t="s">
        <v>894</v>
      </c>
      <c r="K284" s="12" t="s">
        <v>895</v>
      </c>
      <c r="L284" s="12"/>
      <c r="M284" s="11"/>
      <c r="N284" s="11"/>
      <c r="O284" s="11"/>
      <c r="P284" s="11"/>
    </row>
    <row r="285" spans="1:16" x14ac:dyDescent="0.25">
      <c r="A285" s="696">
        <v>56210</v>
      </c>
      <c r="B285" s="696">
        <v>1532</v>
      </c>
      <c r="C285" s="696">
        <v>100</v>
      </c>
      <c r="D285" s="696">
        <v>2500</v>
      </c>
      <c r="F285" s="700" t="s">
        <v>1281</v>
      </c>
      <c r="G285" s="701">
        <v>4.8600000000000003</v>
      </c>
      <c r="H285" s="12" t="s">
        <v>997</v>
      </c>
      <c r="I285" s="12" t="s">
        <v>893</v>
      </c>
      <c r="J285" s="12" t="s">
        <v>926</v>
      </c>
      <c r="K285" s="12" t="s">
        <v>895</v>
      </c>
      <c r="L285" s="12"/>
      <c r="M285" s="11"/>
      <c r="N285" s="11"/>
      <c r="O285" s="11"/>
      <c r="P285" s="11"/>
    </row>
    <row r="286" spans="1:16" x14ac:dyDescent="0.25">
      <c r="A286" s="696">
        <v>56210</v>
      </c>
      <c r="B286" s="696">
        <v>1534</v>
      </c>
      <c r="C286" s="696">
        <v>100</v>
      </c>
      <c r="D286" s="696">
        <v>2700</v>
      </c>
      <c r="F286" s="700" t="s">
        <v>1281</v>
      </c>
      <c r="G286" s="701">
        <v>405.45</v>
      </c>
      <c r="H286" s="12" t="s">
        <v>997</v>
      </c>
      <c r="I286" s="12" t="s">
        <v>913</v>
      </c>
      <c r="J286" s="12" t="s">
        <v>934</v>
      </c>
      <c r="K286" s="12" t="s">
        <v>895</v>
      </c>
      <c r="L286" s="12"/>
      <c r="M286" s="11"/>
      <c r="N286" s="11"/>
      <c r="O286" s="11"/>
      <c r="P286" s="11"/>
    </row>
    <row r="287" spans="1:16" x14ac:dyDescent="0.25">
      <c r="A287" s="696">
        <v>56210</v>
      </c>
      <c r="B287" s="696">
        <v>1534</v>
      </c>
      <c r="C287" s="696">
        <v>400</v>
      </c>
      <c r="D287" s="696">
        <v>2700</v>
      </c>
      <c r="F287" s="700" t="s">
        <v>1281</v>
      </c>
      <c r="G287" s="701">
        <v>549.77</v>
      </c>
      <c r="H287" s="12" t="s">
        <v>997</v>
      </c>
      <c r="I287" s="12" t="s">
        <v>913</v>
      </c>
      <c r="J287" s="12" t="s">
        <v>934</v>
      </c>
      <c r="K287" s="12" t="s">
        <v>895</v>
      </c>
      <c r="L287" s="12"/>
      <c r="M287" s="11"/>
      <c r="N287" s="11"/>
      <c r="O287" s="11"/>
      <c r="P287" s="11"/>
    </row>
    <row r="288" spans="1:16" x14ac:dyDescent="0.25">
      <c r="A288" s="696">
        <v>56210</v>
      </c>
      <c r="B288" s="696">
        <v>1756</v>
      </c>
      <c r="C288" s="696">
        <v>615</v>
      </c>
      <c r="D288" s="696">
        <v>1000</v>
      </c>
      <c r="F288" s="700" t="s">
        <v>1281</v>
      </c>
      <c r="G288" s="701">
        <v>62.31</v>
      </c>
      <c r="H288" s="12" t="s">
        <v>997</v>
      </c>
      <c r="I288" s="12" t="s">
        <v>937</v>
      </c>
      <c r="J288" s="12" t="s">
        <v>894</v>
      </c>
      <c r="K288" s="12" t="s">
        <v>895</v>
      </c>
      <c r="L288" s="12"/>
      <c r="M288" s="11"/>
      <c r="N288" s="11"/>
      <c r="O288" s="11"/>
      <c r="P288" s="11"/>
    </row>
    <row r="289" spans="1:16" x14ac:dyDescent="0.25">
      <c r="A289" s="696">
        <v>56210</v>
      </c>
      <c r="B289" s="696">
        <v>1766</v>
      </c>
      <c r="C289" s="696">
        <v>615</v>
      </c>
      <c r="D289" s="696">
        <v>1000</v>
      </c>
      <c r="F289" s="700" t="s">
        <v>1281</v>
      </c>
      <c r="G289" s="701">
        <v>66.88</v>
      </c>
      <c r="H289" s="12" t="s">
        <v>997</v>
      </c>
      <c r="I289" s="12" t="s">
        <v>937</v>
      </c>
      <c r="J289" s="12" t="s">
        <v>894</v>
      </c>
      <c r="K289" s="12" t="s">
        <v>895</v>
      </c>
      <c r="L289" s="12"/>
      <c r="M289" s="11"/>
      <c r="N289" s="11"/>
      <c r="O289" s="11"/>
      <c r="P289" s="11"/>
    </row>
    <row r="290" spans="1:16" x14ac:dyDescent="0.25">
      <c r="A290" s="696">
        <v>56210</v>
      </c>
      <c r="B290" s="696">
        <v>1769</v>
      </c>
      <c r="C290" s="696">
        <v>615</v>
      </c>
      <c r="D290" s="696">
        <v>1000</v>
      </c>
      <c r="F290" s="700" t="s">
        <v>1281</v>
      </c>
      <c r="G290" s="701">
        <v>73.680000000000007</v>
      </c>
      <c r="H290" s="12" t="s">
        <v>997</v>
      </c>
      <c r="I290" s="12" t="s">
        <v>937</v>
      </c>
      <c r="J290" s="12" t="s">
        <v>894</v>
      </c>
      <c r="K290" s="12" t="s">
        <v>895</v>
      </c>
      <c r="L290" s="12"/>
      <c r="M290" s="11"/>
      <c r="N290" s="11"/>
      <c r="O290" s="11"/>
      <c r="P290" s="11"/>
    </row>
    <row r="291" spans="1:16" x14ac:dyDescent="0.25">
      <c r="A291" s="696">
        <v>56210</v>
      </c>
      <c r="B291" s="696">
        <v>1772</v>
      </c>
      <c r="C291" s="696">
        <v>615</v>
      </c>
      <c r="D291" s="696">
        <v>1000</v>
      </c>
      <c r="F291" s="700" t="s">
        <v>1281</v>
      </c>
      <c r="G291" s="701">
        <v>139.72999999999999</v>
      </c>
      <c r="H291" s="12" t="s">
        <v>997</v>
      </c>
      <c r="I291" s="12" t="s">
        <v>937</v>
      </c>
      <c r="J291" s="12" t="s">
        <v>894</v>
      </c>
      <c r="K291" s="12" t="s">
        <v>895</v>
      </c>
      <c r="L291" s="12"/>
      <c r="M291" s="11"/>
      <c r="N291" s="11"/>
      <c r="O291" s="11"/>
      <c r="P291" s="11"/>
    </row>
    <row r="292" spans="1:16" x14ac:dyDescent="0.25">
      <c r="A292" s="696">
        <v>56210</v>
      </c>
      <c r="B292" s="696">
        <v>1774</v>
      </c>
      <c r="C292" s="696">
        <v>615</v>
      </c>
      <c r="D292" s="696">
        <v>1000</v>
      </c>
      <c r="F292" s="700" t="s">
        <v>1281</v>
      </c>
      <c r="G292" s="701">
        <v>75.88</v>
      </c>
      <c r="H292" s="12" t="s">
        <v>997</v>
      </c>
      <c r="I292" s="12" t="s">
        <v>937</v>
      </c>
      <c r="J292" s="12" t="s">
        <v>894</v>
      </c>
      <c r="K292" s="12" t="s">
        <v>895</v>
      </c>
      <c r="L292" s="12"/>
      <c r="M292" s="11"/>
      <c r="N292" s="11"/>
      <c r="O292" s="11"/>
      <c r="P292" s="11"/>
    </row>
    <row r="293" spans="1:16" x14ac:dyDescent="0.25">
      <c r="A293" s="696">
        <v>56210</v>
      </c>
      <c r="B293" s="696">
        <v>1782</v>
      </c>
      <c r="C293" s="696">
        <v>615</v>
      </c>
      <c r="D293" s="696">
        <v>1000</v>
      </c>
      <c r="F293" s="700" t="s">
        <v>1281</v>
      </c>
      <c r="G293" s="701">
        <v>26.2</v>
      </c>
      <c r="H293" s="12" t="s">
        <v>997</v>
      </c>
      <c r="I293" s="12" t="s">
        <v>937</v>
      </c>
      <c r="J293" s="12" t="s">
        <v>894</v>
      </c>
      <c r="K293" s="12" t="s">
        <v>895</v>
      </c>
      <c r="L293" s="12"/>
      <c r="M293" s="11"/>
      <c r="N293" s="11"/>
      <c r="O293" s="11"/>
      <c r="P293" s="11"/>
    </row>
    <row r="294" spans="1:16" x14ac:dyDescent="0.25">
      <c r="A294" s="696">
        <v>56210</v>
      </c>
      <c r="B294" s="696">
        <v>1784</v>
      </c>
      <c r="C294" s="696">
        <v>615</v>
      </c>
      <c r="D294" s="696">
        <v>1000</v>
      </c>
      <c r="F294" s="700" t="s">
        <v>1281</v>
      </c>
      <c r="G294" s="701">
        <v>23.91</v>
      </c>
      <c r="H294" s="12" t="s">
        <v>997</v>
      </c>
      <c r="I294" s="12" t="s">
        <v>937</v>
      </c>
      <c r="J294" s="12" t="s">
        <v>894</v>
      </c>
      <c r="K294" s="12" t="s">
        <v>895</v>
      </c>
      <c r="L294" s="12"/>
      <c r="M294" s="11"/>
      <c r="N294" s="11"/>
      <c r="O294" s="11"/>
      <c r="P294" s="11"/>
    </row>
    <row r="295" spans="1:16" x14ac:dyDescent="0.25">
      <c r="A295" s="696">
        <v>56210</v>
      </c>
      <c r="B295" s="696">
        <v>1785</v>
      </c>
      <c r="C295" s="696">
        <v>615</v>
      </c>
      <c r="D295" s="696">
        <v>1000</v>
      </c>
      <c r="F295" s="700" t="s">
        <v>1281</v>
      </c>
      <c r="G295" s="701">
        <v>77.3</v>
      </c>
      <c r="H295" s="12" t="s">
        <v>997</v>
      </c>
      <c r="I295" s="12" t="s">
        <v>937</v>
      </c>
      <c r="J295" s="12" t="s">
        <v>894</v>
      </c>
      <c r="K295" s="12" t="s">
        <v>895</v>
      </c>
      <c r="L295" s="12"/>
      <c r="M295" s="11"/>
      <c r="N295" s="11"/>
      <c r="O295" s="11"/>
      <c r="P295" s="11"/>
    </row>
    <row r="296" spans="1:16" x14ac:dyDescent="0.25">
      <c r="A296" s="696">
        <v>56210</v>
      </c>
      <c r="B296" s="696">
        <v>1795</v>
      </c>
      <c r="C296" s="696">
        <v>615</v>
      </c>
      <c r="D296" s="696">
        <v>1000</v>
      </c>
      <c r="F296" s="700" t="s">
        <v>1281</v>
      </c>
      <c r="G296" s="701">
        <v>56.45</v>
      </c>
      <c r="H296" s="12" t="s">
        <v>997</v>
      </c>
      <c r="I296" s="12" t="s">
        <v>937</v>
      </c>
      <c r="J296" s="12" t="s">
        <v>894</v>
      </c>
      <c r="K296" s="12" t="s">
        <v>895</v>
      </c>
      <c r="L296" s="12"/>
      <c r="M296" s="11"/>
      <c r="N296" s="11"/>
      <c r="O296" s="11"/>
      <c r="P296" s="11"/>
    </row>
    <row r="297" spans="1:16" x14ac:dyDescent="0.25">
      <c r="A297" s="696">
        <v>56210</v>
      </c>
      <c r="B297" s="696">
        <v>1802</v>
      </c>
      <c r="C297" s="696">
        <v>615</v>
      </c>
      <c r="D297" s="696">
        <v>1000</v>
      </c>
      <c r="F297" s="700" t="s">
        <v>1281</v>
      </c>
      <c r="G297" s="701">
        <v>25.74</v>
      </c>
      <c r="H297" s="12" t="s">
        <v>997</v>
      </c>
      <c r="I297" s="12" t="s">
        <v>937</v>
      </c>
      <c r="J297" s="12" t="s">
        <v>894</v>
      </c>
      <c r="K297" s="12" t="s">
        <v>895</v>
      </c>
      <c r="L297" s="12"/>
      <c r="M297" s="11"/>
      <c r="N297" s="11"/>
      <c r="O297" s="11"/>
      <c r="P297" s="11"/>
    </row>
    <row r="298" spans="1:16" x14ac:dyDescent="0.25">
      <c r="A298" s="696">
        <v>56210</v>
      </c>
      <c r="B298" s="696">
        <v>1808</v>
      </c>
      <c r="C298" s="696">
        <v>615</v>
      </c>
      <c r="D298" s="696">
        <v>1000</v>
      </c>
      <c r="F298" s="700" t="s">
        <v>1281</v>
      </c>
      <c r="G298" s="701">
        <v>39.33</v>
      </c>
      <c r="H298" s="12" t="s">
        <v>997</v>
      </c>
      <c r="I298" s="12" t="s">
        <v>937</v>
      </c>
      <c r="J298" s="12" t="s">
        <v>894</v>
      </c>
      <c r="K298" s="12" t="s">
        <v>895</v>
      </c>
      <c r="L298" s="12"/>
      <c r="M298" s="11"/>
      <c r="N298" s="11"/>
      <c r="O298" s="11"/>
      <c r="P298" s="11"/>
    </row>
    <row r="299" spans="1:16" x14ac:dyDescent="0.25">
      <c r="A299" s="696">
        <v>56210</v>
      </c>
      <c r="B299" s="696">
        <v>1810</v>
      </c>
      <c r="C299" s="696">
        <v>615</v>
      </c>
      <c r="D299" s="696">
        <v>1000</v>
      </c>
      <c r="F299" s="700" t="s">
        <v>1281</v>
      </c>
      <c r="G299" s="701">
        <v>157.31</v>
      </c>
      <c r="H299" s="12" t="s">
        <v>997</v>
      </c>
      <c r="I299" s="12" t="s">
        <v>937</v>
      </c>
      <c r="J299" s="12" t="s">
        <v>894</v>
      </c>
      <c r="K299" s="12" t="s">
        <v>895</v>
      </c>
      <c r="L299" s="12"/>
      <c r="M299" s="11"/>
      <c r="N299" s="11"/>
      <c r="O299" s="11"/>
      <c r="P299" s="11"/>
    </row>
    <row r="300" spans="1:16" x14ac:dyDescent="0.25">
      <c r="A300" s="696">
        <v>56210</v>
      </c>
      <c r="B300" s="696">
        <v>1812</v>
      </c>
      <c r="C300" s="696">
        <v>615</v>
      </c>
      <c r="D300" s="696">
        <v>1000</v>
      </c>
      <c r="F300" s="700" t="s">
        <v>1281</v>
      </c>
      <c r="G300" s="701">
        <v>110.71</v>
      </c>
      <c r="H300" s="12" t="s">
        <v>997</v>
      </c>
      <c r="I300" s="12" t="s">
        <v>937</v>
      </c>
      <c r="J300" s="12" t="s">
        <v>894</v>
      </c>
      <c r="K300" s="12" t="s">
        <v>895</v>
      </c>
      <c r="L300" s="12"/>
      <c r="M300" s="11"/>
      <c r="N300" s="11"/>
      <c r="O300" s="11"/>
      <c r="P300" s="11"/>
    </row>
    <row r="301" spans="1:16" x14ac:dyDescent="0.25">
      <c r="A301" s="696">
        <v>56210</v>
      </c>
      <c r="B301" s="696">
        <v>1817</v>
      </c>
      <c r="C301" s="696">
        <v>615</v>
      </c>
      <c r="D301" s="696">
        <v>1000</v>
      </c>
      <c r="F301" s="700" t="s">
        <v>1281</v>
      </c>
      <c r="G301" s="701">
        <v>26.56</v>
      </c>
      <c r="H301" s="12" t="s">
        <v>997</v>
      </c>
      <c r="I301" s="12" t="s">
        <v>937</v>
      </c>
      <c r="J301" s="12" t="s">
        <v>894</v>
      </c>
      <c r="K301" s="12" t="s">
        <v>895</v>
      </c>
      <c r="L301" s="12"/>
      <c r="M301" s="11"/>
      <c r="N301" s="11"/>
      <c r="O301" s="11"/>
      <c r="P301" s="11"/>
    </row>
    <row r="302" spans="1:16" x14ac:dyDescent="0.25">
      <c r="A302" s="696">
        <v>56210</v>
      </c>
      <c r="B302" s="696">
        <v>1823</v>
      </c>
      <c r="C302" s="696">
        <v>615</v>
      </c>
      <c r="D302" s="696">
        <v>1000</v>
      </c>
      <c r="F302" s="700" t="s">
        <v>1281</v>
      </c>
      <c r="G302" s="701">
        <v>38.11</v>
      </c>
      <c r="H302" s="12" t="s">
        <v>997</v>
      </c>
      <c r="I302" s="12" t="s">
        <v>937</v>
      </c>
      <c r="J302" s="12" t="s">
        <v>894</v>
      </c>
      <c r="K302" s="12" t="s">
        <v>895</v>
      </c>
      <c r="L302" s="12"/>
      <c r="M302" s="11"/>
      <c r="N302" s="11"/>
      <c r="O302" s="11"/>
      <c r="P302" s="11"/>
    </row>
    <row r="303" spans="1:16" x14ac:dyDescent="0.25">
      <c r="A303" s="696">
        <v>56210</v>
      </c>
      <c r="B303" s="696">
        <v>1833</v>
      </c>
      <c r="C303" s="696">
        <v>615</v>
      </c>
      <c r="D303" s="696">
        <v>1000</v>
      </c>
      <c r="F303" s="700" t="s">
        <v>1281</v>
      </c>
      <c r="G303" s="701">
        <v>95.83</v>
      </c>
      <c r="H303" s="12" t="s">
        <v>997</v>
      </c>
      <c r="I303" s="12" t="s">
        <v>937</v>
      </c>
      <c r="J303" s="12" t="s">
        <v>894</v>
      </c>
      <c r="K303" s="12" t="s">
        <v>895</v>
      </c>
      <c r="L303" s="12"/>
      <c r="M303" s="11"/>
      <c r="N303" s="11"/>
      <c r="O303" s="11"/>
      <c r="P303" s="11"/>
    </row>
    <row r="304" spans="1:16" x14ac:dyDescent="0.25">
      <c r="A304" s="696">
        <v>56210</v>
      </c>
      <c r="B304" s="696">
        <v>1834</v>
      </c>
      <c r="C304" s="696">
        <v>615</v>
      </c>
      <c r="D304" s="696">
        <v>1000</v>
      </c>
      <c r="F304" s="700" t="s">
        <v>1281</v>
      </c>
      <c r="G304" s="701">
        <v>19.96</v>
      </c>
      <c r="H304" s="12" t="s">
        <v>997</v>
      </c>
      <c r="I304" s="12" t="s">
        <v>937</v>
      </c>
      <c r="J304" s="12" t="s">
        <v>894</v>
      </c>
      <c r="K304" s="12" t="s">
        <v>895</v>
      </c>
      <c r="L304" s="12"/>
      <c r="M304" s="11"/>
      <c r="N304" s="11"/>
      <c r="O304" s="11"/>
      <c r="P304" s="11"/>
    </row>
    <row r="305" spans="1:16" x14ac:dyDescent="0.25">
      <c r="A305" s="696">
        <v>56210</v>
      </c>
      <c r="B305" s="696">
        <v>1835</v>
      </c>
      <c r="C305" s="696">
        <v>615</v>
      </c>
      <c r="D305" s="696">
        <v>1000</v>
      </c>
      <c r="F305" s="700" t="s">
        <v>1281</v>
      </c>
      <c r="G305" s="701">
        <v>41.39</v>
      </c>
      <c r="H305" s="12" t="s">
        <v>997</v>
      </c>
      <c r="I305" s="12" t="s">
        <v>937</v>
      </c>
      <c r="J305" s="12" t="s">
        <v>894</v>
      </c>
      <c r="K305" s="12" t="s">
        <v>895</v>
      </c>
      <c r="L305" s="12"/>
      <c r="M305" s="11"/>
      <c r="N305" s="11"/>
      <c r="O305" s="11"/>
      <c r="P305" s="11"/>
    </row>
    <row r="306" spans="1:16" x14ac:dyDescent="0.25">
      <c r="A306" s="696">
        <v>56210</v>
      </c>
      <c r="B306" s="696">
        <v>1836</v>
      </c>
      <c r="C306" s="696">
        <v>615</v>
      </c>
      <c r="D306" s="696">
        <v>1000</v>
      </c>
      <c r="F306" s="700" t="s">
        <v>1281</v>
      </c>
      <c r="G306" s="701">
        <v>43.67</v>
      </c>
      <c r="H306" s="12" t="s">
        <v>997</v>
      </c>
      <c r="I306" s="12" t="s">
        <v>937</v>
      </c>
      <c r="J306" s="12" t="s">
        <v>894</v>
      </c>
      <c r="K306" s="12" t="s">
        <v>895</v>
      </c>
      <c r="L306" s="12"/>
      <c r="M306" s="11"/>
      <c r="N306" s="11"/>
      <c r="O306" s="11"/>
      <c r="P306" s="11"/>
    </row>
    <row r="307" spans="1:16" x14ac:dyDescent="0.25">
      <c r="A307" s="696">
        <v>56210</v>
      </c>
      <c r="B307" s="696">
        <v>1844</v>
      </c>
      <c r="C307" s="696">
        <v>615</v>
      </c>
      <c r="D307" s="696">
        <v>1000</v>
      </c>
      <c r="F307" s="700" t="s">
        <v>1281</v>
      </c>
      <c r="G307" s="701">
        <v>28.38</v>
      </c>
      <c r="H307" s="12" t="s">
        <v>997</v>
      </c>
      <c r="I307" s="12" t="s">
        <v>937</v>
      </c>
      <c r="J307" s="12" t="s">
        <v>894</v>
      </c>
      <c r="K307" s="12" t="s">
        <v>895</v>
      </c>
      <c r="L307" s="12"/>
      <c r="M307" s="11"/>
      <c r="N307" s="11"/>
      <c r="O307" s="11"/>
      <c r="P307" s="11"/>
    </row>
    <row r="308" spans="1:16" x14ac:dyDescent="0.25">
      <c r="A308" s="696">
        <v>56210</v>
      </c>
      <c r="B308" s="696">
        <v>1853</v>
      </c>
      <c r="C308" s="696">
        <v>615</v>
      </c>
      <c r="D308" s="696">
        <v>1000</v>
      </c>
      <c r="F308" s="700" t="s">
        <v>1281</v>
      </c>
      <c r="G308" s="701">
        <v>78.38</v>
      </c>
      <c r="H308" s="12" t="s">
        <v>997</v>
      </c>
      <c r="I308" s="12" t="s">
        <v>937</v>
      </c>
      <c r="J308" s="12" t="s">
        <v>894</v>
      </c>
      <c r="K308" s="12" t="s">
        <v>895</v>
      </c>
      <c r="L308" s="12"/>
      <c r="M308" s="11"/>
      <c r="N308" s="11"/>
      <c r="O308" s="11"/>
      <c r="P308" s="11"/>
    </row>
    <row r="309" spans="1:16" x14ac:dyDescent="0.25">
      <c r="A309" s="696">
        <v>56210</v>
      </c>
      <c r="B309" s="696">
        <v>1859</v>
      </c>
      <c r="C309" s="696">
        <v>615</v>
      </c>
      <c r="D309" s="696">
        <v>1000</v>
      </c>
      <c r="F309" s="700" t="s">
        <v>1281</v>
      </c>
      <c r="G309" s="701">
        <v>40.5</v>
      </c>
      <c r="H309" s="12" t="s">
        <v>997</v>
      </c>
      <c r="I309" s="12" t="s">
        <v>937</v>
      </c>
      <c r="J309" s="12" t="s">
        <v>894</v>
      </c>
      <c r="K309" s="12" t="s">
        <v>895</v>
      </c>
      <c r="L309" s="12"/>
      <c r="M309" s="11"/>
      <c r="N309" s="11"/>
      <c r="O309" s="11"/>
      <c r="P309" s="11"/>
    </row>
    <row r="310" spans="1:16" x14ac:dyDescent="0.25">
      <c r="A310" s="696">
        <v>56210</v>
      </c>
      <c r="B310" s="696">
        <v>1867</v>
      </c>
      <c r="C310" s="696">
        <v>615</v>
      </c>
      <c r="D310" s="696">
        <v>1000</v>
      </c>
      <c r="F310" s="700" t="s">
        <v>1281</v>
      </c>
      <c r="G310" s="701">
        <v>60.01</v>
      </c>
      <c r="H310" s="12" t="s">
        <v>997</v>
      </c>
      <c r="I310" s="12" t="s">
        <v>937</v>
      </c>
      <c r="J310" s="12" t="s">
        <v>894</v>
      </c>
      <c r="K310" s="12" t="s">
        <v>895</v>
      </c>
      <c r="L310" s="12"/>
      <c r="M310" s="11"/>
      <c r="N310" s="11"/>
      <c r="O310" s="11"/>
      <c r="P310" s="11"/>
    </row>
    <row r="311" spans="1:16" x14ac:dyDescent="0.25">
      <c r="A311" s="696">
        <v>56211</v>
      </c>
      <c r="B311" s="696">
        <v>1000</v>
      </c>
      <c r="C311" s="696">
        <v>100</v>
      </c>
      <c r="D311" s="696">
        <v>1000</v>
      </c>
      <c r="F311" s="700" t="s">
        <v>1282</v>
      </c>
      <c r="G311" s="701">
        <v>27215.81</v>
      </c>
      <c r="H311" s="12" t="s">
        <v>889</v>
      </c>
      <c r="I311" s="12" t="s">
        <v>893</v>
      </c>
      <c r="J311" s="12" t="s">
        <v>894</v>
      </c>
      <c r="K311" s="12" t="s">
        <v>895</v>
      </c>
      <c r="L311" s="12"/>
      <c r="M311" s="11"/>
      <c r="N311" s="11"/>
      <c r="O311" s="11"/>
      <c r="P311" s="11"/>
    </row>
    <row r="312" spans="1:16" x14ac:dyDescent="0.25">
      <c r="A312" s="696">
        <v>56211</v>
      </c>
      <c r="B312" s="696">
        <v>1000</v>
      </c>
      <c r="C312" s="696">
        <v>100</v>
      </c>
      <c r="D312" s="696">
        <v>2100</v>
      </c>
      <c r="F312" s="700" t="s">
        <v>1282</v>
      </c>
      <c r="G312" s="701">
        <v>13955.72</v>
      </c>
      <c r="H312" s="12" t="s">
        <v>889</v>
      </c>
      <c r="I312" s="12" t="s">
        <v>893</v>
      </c>
      <c r="J312" s="12" t="s">
        <v>902</v>
      </c>
      <c r="K312" s="12" t="s">
        <v>895</v>
      </c>
      <c r="L312" s="12"/>
      <c r="M312" s="11"/>
      <c r="N312" s="11"/>
      <c r="O312" s="11"/>
      <c r="P312" s="11"/>
    </row>
    <row r="313" spans="1:16" x14ac:dyDescent="0.25">
      <c r="A313" s="696">
        <v>56211</v>
      </c>
      <c r="B313" s="696">
        <v>1000</v>
      </c>
      <c r="C313" s="696">
        <v>100</v>
      </c>
      <c r="D313" s="696">
        <v>2200</v>
      </c>
      <c r="F313" s="700" t="s">
        <v>1282</v>
      </c>
      <c r="G313" s="701">
        <v>2576.65</v>
      </c>
      <c r="H313" s="12" t="s">
        <v>889</v>
      </c>
      <c r="I313" s="12" t="s">
        <v>893</v>
      </c>
      <c r="J313" s="12" t="s">
        <v>906</v>
      </c>
      <c r="K313" s="12" t="s">
        <v>895</v>
      </c>
      <c r="L313" s="12"/>
      <c r="M313" s="11"/>
      <c r="N313" s="11"/>
      <c r="O313" s="11"/>
      <c r="P313" s="11"/>
    </row>
    <row r="314" spans="1:16" x14ac:dyDescent="0.25">
      <c r="A314" s="696">
        <v>56211</v>
      </c>
      <c r="B314" s="696">
        <v>1000</v>
      </c>
      <c r="C314" s="696">
        <v>100</v>
      </c>
      <c r="D314" s="696">
        <v>2300</v>
      </c>
      <c r="F314" s="700" t="s">
        <v>1282</v>
      </c>
      <c r="G314" s="701">
        <v>946.05</v>
      </c>
      <c r="H314" s="12" t="s">
        <v>889</v>
      </c>
      <c r="I314" s="12" t="s">
        <v>893</v>
      </c>
      <c r="J314" s="12" t="s">
        <v>918</v>
      </c>
      <c r="K314" s="12" t="s">
        <v>895</v>
      </c>
      <c r="L314" s="12"/>
      <c r="M314" s="11"/>
      <c r="N314" s="11"/>
      <c r="O314" s="11"/>
      <c r="P314" s="11"/>
    </row>
    <row r="315" spans="1:16" x14ac:dyDescent="0.25">
      <c r="A315" s="696">
        <v>56211</v>
      </c>
      <c r="B315" s="696">
        <v>1000</v>
      </c>
      <c r="C315" s="696">
        <v>100</v>
      </c>
      <c r="D315" s="696">
        <v>2310</v>
      </c>
      <c r="F315" s="700" t="s">
        <v>1282</v>
      </c>
      <c r="G315" s="701">
        <v>321.05</v>
      </c>
      <c r="H315" s="12" t="s">
        <v>889</v>
      </c>
      <c r="I315" s="12" t="s">
        <v>893</v>
      </c>
      <c r="J315" s="12" t="s">
        <v>918</v>
      </c>
      <c r="K315" s="12" t="s">
        <v>895</v>
      </c>
      <c r="L315" s="12"/>
      <c r="M315" s="11"/>
      <c r="N315" s="11"/>
      <c r="O315" s="11"/>
      <c r="P315" s="11"/>
    </row>
    <row r="316" spans="1:16" x14ac:dyDescent="0.25">
      <c r="A316" s="696">
        <v>56211</v>
      </c>
      <c r="B316" s="696">
        <v>1000</v>
      </c>
      <c r="C316" s="696">
        <v>100</v>
      </c>
      <c r="D316" s="696">
        <v>2400</v>
      </c>
      <c r="F316" s="700" t="s">
        <v>1282</v>
      </c>
      <c r="G316" s="701">
        <v>1850</v>
      </c>
      <c r="H316" s="12" t="s">
        <v>889</v>
      </c>
      <c r="I316" s="12" t="s">
        <v>893</v>
      </c>
      <c r="J316" s="12" t="s">
        <v>922</v>
      </c>
      <c r="K316" s="12" t="s">
        <v>895</v>
      </c>
      <c r="L316" s="12"/>
      <c r="M316" s="11"/>
      <c r="N316" s="11"/>
      <c r="O316" s="11"/>
      <c r="P316" s="11"/>
    </row>
    <row r="317" spans="1:16" x14ac:dyDescent="0.25">
      <c r="A317" s="696">
        <v>56211</v>
      </c>
      <c r="B317" s="696">
        <v>1000</v>
      </c>
      <c r="C317" s="696">
        <v>100</v>
      </c>
      <c r="D317" s="696">
        <v>2500</v>
      </c>
      <c r="F317" s="700" t="s">
        <v>1282</v>
      </c>
      <c r="G317" s="701">
        <v>26403.79</v>
      </c>
      <c r="H317" s="12" t="s">
        <v>889</v>
      </c>
      <c r="I317" s="12" t="s">
        <v>893</v>
      </c>
      <c r="J317" s="12" t="s">
        <v>926</v>
      </c>
      <c r="K317" s="12" t="s">
        <v>895</v>
      </c>
      <c r="L317" s="12"/>
      <c r="M317" s="11"/>
      <c r="N317" s="11"/>
      <c r="O317" s="11"/>
      <c r="P317" s="11"/>
    </row>
    <row r="318" spans="1:16" x14ac:dyDescent="0.25">
      <c r="A318" s="696">
        <v>56211</v>
      </c>
      <c r="B318" s="696">
        <v>1000</v>
      </c>
      <c r="C318" s="696">
        <v>100</v>
      </c>
      <c r="D318" s="696">
        <v>2510</v>
      </c>
      <c r="F318" s="700" t="s">
        <v>1282</v>
      </c>
      <c r="G318" s="701">
        <v>205.47</v>
      </c>
      <c r="H318" s="12" t="s">
        <v>889</v>
      </c>
      <c r="I318" s="12" t="s">
        <v>893</v>
      </c>
      <c r="J318" s="12" t="s">
        <v>926</v>
      </c>
      <c r="K318" s="12" t="s">
        <v>895</v>
      </c>
      <c r="L318" s="12"/>
      <c r="M318" s="11"/>
      <c r="N318" s="11"/>
      <c r="O318" s="11"/>
      <c r="P318" s="11"/>
    </row>
    <row r="319" spans="1:16" x14ac:dyDescent="0.25">
      <c r="A319" s="696">
        <v>56211</v>
      </c>
      <c r="B319" s="696">
        <v>1000</v>
      </c>
      <c r="C319" s="696">
        <v>100</v>
      </c>
      <c r="D319" s="696">
        <v>2600</v>
      </c>
      <c r="F319" s="700" t="s">
        <v>1282</v>
      </c>
      <c r="G319" s="701">
        <v>629.26</v>
      </c>
      <c r="H319" s="12" t="s">
        <v>889</v>
      </c>
      <c r="I319" s="12" t="s">
        <v>893</v>
      </c>
      <c r="J319" s="12" t="s">
        <v>930</v>
      </c>
      <c r="K319" s="12" t="s">
        <v>895</v>
      </c>
      <c r="L319" s="12"/>
      <c r="M319" s="11"/>
      <c r="N319" s="11"/>
      <c r="O319" s="11"/>
      <c r="P319" s="11"/>
    </row>
    <row r="320" spans="1:16" x14ac:dyDescent="0.25">
      <c r="A320" s="696">
        <v>56211</v>
      </c>
      <c r="B320" s="696">
        <v>1000</v>
      </c>
      <c r="C320" s="696">
        <v>100</v>
      </c>
      <c r="D320" s="696">
        <v>2700</v>
      </c>
      <c r="F320" s="700" t="s">
        <v>1282</v>
      </c>
      <c r="G320" s="701">
        <v>1.75</v>
      </c>
      <c r="H320" s="12" t="s">
        <v>889</v>
      </c>
      <c r="I320" s="12" t="s">
        <v>913</v>
      </c>
      <c r="J320" s="12" t="s">
        <v>934</v>
      </c>
      <c r="K320" s="12" t="s">
        <v>895</v>
      </c>
      <c r="L320" s="12"/>
      <c r="M320" s="11"/>
      <c r="N320" s="11"/>
      <c r="O320" s="11"/>
      <c r="P320" s="11"/>
    </row>
    <row r="321" spans="1:16" x14ac:dyDescent="0.25">
      <c r="A321" s="696">
        <v>56211</v>
      </c>
      <c r="B321" s="696">
        <v>1000</v>
      </c>
      <c r="C321" s="696">
        <v>100</v>
      </c>
      <c r="D321" s="696">
        <v>3100</v>
      </c>
      <c r="F321" s="700" t="s">
        <v>1282</v>
      </c>
      <c r="G321" s="701">
        <v>321.05</v>
      </c>
      <c r="H321" s="12" t="s">
        <v>889</v>
      </c>
      <c r="I321" s="12" t="s">
        <v>893</v>
      </c>
      <c r="J321" s="12" t="s">
        <v>942</v>
      </c>
      <c r="K321" s="12" t="s">
        <v>895</v>
      </c>
      <c r="L321" s="12"/>
      <c r="M321" s="11"/>
      <c r="N321" s="11"/>
      <c r="O321" s="11"/>
      <c r="P321" s="11"/>
    </row>
    <row r="322" spans="1:16" x14ac:dyDescent="0.25">
      <c r="A322" s="696">
        <v>56211</v>
      </c>
      <c r="B322" s="696">
        <v>1000</v>
      </c>
      <c r="C322" s="696">
        <v>200</v>
      </c>
      <c r="D322" s="696">
        <v>1000</v>
      </c>
      <c r="F322" s="700" t="s">
        <v>1282</v>
      </c>
      <c r="G322" s="701">
        <v>2158.21</v>
      </c>
      <c r="H322" s="12" t="s">
        <v>889</v>
      </c>
      <c r="I322" s="12" t="s">
        <v>897</v>
      </c>
      <c r="J322" s="12" t="s">
        <v>894</v>
      </c>
      <c r="K322" s="12" t="s">
        <v>895</v>
      </c>
      <c r="L322" s="12"/>
      <c r="M322" s="11"/>
      <c r="N322" s="11"/>
      <c r="O322" s="11"/>
      <c r="P322" s="11"/>
    </row>
    <row r="323" spans="1:16" x14ac:dyDescent="0.25">
      <c r="A323" s="696">
        <v>56211</v>
      </c>
      <c r="B323" s="696">
        <v>1000</v>
      </c>
      <c r="C323" s="696">
        <v>200</v>
      </c>
      <c r="D323" s="696">
        <v>2100</v>
      </c>
      <c r="F323" s="700" t="s">
        <v>1282</v>
      </c>
      <c r="G323" s="701">
        <v>0</v>
      </c>
      <c r="H323" s="12" t="s">
        <v>889</v>
      </c>
      <c r="I323" s="12" t="s">
        <v>897</v>
      </c>
      <c r="J323" s="12" t="s">
        <v>902</v>
      </c>
      <c r="K323" s="12" t="s">
        <v>895</v>
      </c>
      <c r="L323" s="12"/>
      <c r="M323" s="11"/>
      <c r="N323" s="11"/>
      <c r="O323" s="11"/>
      <c r="P323" s="11"/>
    </row>
    <row r="324" spans="1:16" x14ac:dyDescent="0.25">
      <c r="A324" s="696">
        <v>56211</v>
      </c>
      <c r="B324" s="696">
        <v>1000</v>
      </c>
      <c r="C324" s="696">
        <v>200</v>
      </c>
      <c r="D324" s="696">
        <v>2500</v>
      </c>
      <c r="F324" s="700" t="s">
        <v>1282</v>
      </c>
      <c r="G324" s="701">
        <v>0</v>
      </c>
      <c r="H324" s="12" t="s">
        <v>889</v>
      </c>
      <c r="I324" s="12" t="s">
        <v>897</v>
      </c>
      <c r="J324" s="12" t="s">
        <v>926</v>
      </c>
      <c r="K324" s="12" t="s">
        <v>895</v>
      </c>
      <c r="L324" s="12"/>
      <c r="M324" s="11"/>
      <c r="N324" s="11"/>
      <c r="O324" s="11"/>
      <c r="P324" s="11"/>
    </row>
    <row r="325" spans="1:16" x14ac:dyDescent="0.25">
      <c r="A325" s="696">
        <v>56211</v>
      </c>
      <c r="B325" s="696">
        <v>1000</v>
      </c>
      <c r="C325" s="696">
        <v>240</v>
      </c>
      <c r="D325" s="696">
        <v>1000</v>
      </c>
      <c r="F325" s="700" t="s">
        <v>1282</v>
      </c>
      <c r="G325" s="701">
        <v>282.52</v>
      </c>
      <c r="H325" s="12" t="s">
        <v>889</v>
      </c>
      <c r="I325" s="12" t="s">
        <v>897</v>
      </c>
      <c r="J325" s="12" t="s">
        <v>894</v>
      </c>
      <c r="K325" s="12" t="s">
        <v>895</v>
      </c>
      <c r="L325" s="12"/>
      <c r="M325" s="11"/>
      <c r="N325" s="11"/>
      <c r="O325" s="11"/>
      <c r="P325" s="11"/>
    </row>
    <row r="326" spans="1:16" x14ac:dyDescent="0.25">
      <c r="A326" s="696">
        <v>56211</v>
      </c>
      <c r="B326" s="696">
        <v>1000</v>
      </c>
      <c r="C326" s="696">
        <v>400</v>
      </c>
      <c r="D326" s="696">
        <v>2700</v>
      </c>
      <c r="F326" s="700" t="s">
        <v>1282</v>
      </c>
      <c r="G326" s="701">
        <v>1.46</v>
      </c>
      <c r="H326" s="12" t="s">
        <v>889</v>
      </c>
      <c r="I326" s="12" t="s">
        <v>913</v>
      </c>
      <c r="J326" s="12" t="s">
        <v>934</v>
      </c>
      <c r="K326" s="12" t="s">
        <v>895</v>
      </c>
      <c r="L326" s="12"/>
      <c r="M326" s="11"/>
      <c r="N326" s="11"/>
      <c r="O326" s="11"/>
      <c r="P326" s="11"/>
    </row>
    <row r="327" spans="1:16" x14ac:dyDescent="0.25">
      <c r="A327" s="696">
        <v>56211</v>
      </c>
      <c r="B327" s="696">
        <v>1000</v>
      </c>
      <c r="C327" s="696">
        <v>615</v>
      </c>
      <c r="D327" s="696">
        <v>1000</v>
      </c>
      <c r="F327" s="700" t="s">
        <v>1282</v>
      </c>
      <c r="G327" s="701">
        <v>17.52</v>
      </c>
      <c r="H327" s="12" t="s">
        <v>889</v>
      </c>
      <c r="I327" s="12" t="s">
        <v>937</v>
      </c>
      <c r="J327" s="12" t="s">
        <v>894</v>
      </c>
      <c r="K327" s="12" t="s">
        <v>895</v>
      </c>
      <c r="L327" s="12"/>
      <c r="M327" s="11"/>
      <c r="N327" s="11"/>
      <c r="O327" s="11"/>
      <c r="P327" s="11"/>
    </row>
    <row r="328" spans="1:16" x14ac:dyDescent="0.25">
      <c r="A328" s="696">
        <v>56211</v>
      </c>
      <c r="B328" s="696">
        <v>1220</v>
      </c>
      <c r="C328" s="696">
        <v>200</v>
      </c>
      <c r="D328" s="696">
        <v>2100</v>
      </c>
      <c r="F328" s="700" t="s">
        <v>1282</v>
      </c>
      <c r="G328" s="701">
        <v>600</v>
      </c>
      <c r="H328" s="12" t="s">
        <v>932</v>
      </c>
      <c r="I328" s="12" t="s">
        <v>897</v>
      </c>
      <c r="J328" s="12" t="s">
        <v>902</v>
      </c>
      <c r="K328" s="12" t="s">
        <v>895</v>
      </c>
      <c r="L328" s="12"/>
      <c r="M328" s="11"/>
      <c r="N328" s="11"/>
      <c r="O328" s="11"/>
      <c r="P328" s="11"/>
    </row>
    <row r="329" spans="1:16" x14ac:dyDescent="0.25">
      <c r="A329" s="696">
        <v>56222</v>
      </c>
      <c r="B329" s="696">
        <v>1321</v>
      </c>
      <c r="C329" s="696">
        <v>100</v>
      </c>
      <c r="D329" s="696">
        <v>1000</v>
      </c>
      <c r="F329" s="700" t="s">
        <v>1287</v>
      </c>
      <c r="G329" s="701">
        <v>0</v>
      </c>
      <c r="H329" s="12" t="s">
        <v>968</v>
      </c>
      <c r="I329" s="12" t="s">
        <v>893</v>
      </c>
      <c r="J329" s="12" t="s">
        <v>894</v>
      </c>
      <c r="K329" s="12" t="s">
        <v>895</v>
      </c>
      <c r="L329" s="12"/>
      <c r="M329" s="11"/>
      <c r="N329" s="11"/>
      <c r="O329" s="11"/>
      <c r="P329" s="11"/>
    </row>
    <row r="330" spans="1:16" x14ac:dyDescent="0.25">
      <c r="A330" s="696">
        <v>56231</v>
      </c>
      <c r="B330" s="696">
        <v>1321</v>
      </c>
      <c r="C330" s="696">
        <v>100</v>
      </c>
      <c r="D330" s="696">
        <v>1000</v>
      </c>
      <c r="F330" s="700" t="s">
        <v>1288</v>
      </c>
      <c r="G330" s="701">
        <v>0</v>
      </c>
      <c r="H330" s="12" t="s">
        <v>968</v>
      </c>
      <c r="I330" s="12" t="s">
        <v>893</v>
      </c>
      <c r="J330" s="12" t="s">
        <v>894</v>
      </c>
      <c r="K330" s="12" t="s">
        <v>895</v>
      </c>
      <c r="L330" s="12"/>
      <c r="M330" s="11"/>
      <c r="N330" s="11"/>
      <c r="O330" s="11"/>
      <c r="P330" s="11"/>
    </row>
    <row r="331" spans="1:16" x14ac:dyDescent="0.25">
      <c r="A331" s="696">
        <v>56232</v>
      </c>
      <c r="B331" s="696">
        <v>1321</v>
      </c>
      <c r="C331" s="696">
        <v>100</v>
      </c>
      <c r="D331" s="696">
        <v>1000</v>
      </c>
      <c r="F331" s="700" t="s">
        <v>1289</v>
      </c>
      <c r="G331" s="701">
        <v>0</v>
      </c>
      <c r="H331" s="12" t="s">
        <v>968</v>
      </c>
      <c r="I331" s="12" t="s">
        <v>893</v>
      </c>
      <c r="J331" s="12" t="s">
        <v>894</v>
      </c>
      <c r="K331" s="12" t="s">
        <v>895</v>
      </c>
      <c r="L331" s="12"/>
      <c r="M331" s="11"/>
      <c r="N331" s="11"/>
      <c r="O331" s="11"/>
      <c r="P331" s="11"/>
    </row>
    <row r="332" spans="1:16" x14ac:dyDescent="0.25">
      <c r="A332" s="696">
        <v>56210</v>
      </c>
      <c r="B332" s="696">
        <v>1322</v>
      </c>
      <c r="C332" s="696">
        <v>100</v>
      </c>
      <c r="D332" s="696">
        <v>1000</v>
      </c>
      <c r="F332" s="700" t="s">
        <v>1281</v>
      </c>
      <c r="G332" s="701">
        <v>122979.32</v>
      </c>
      <c r="H332" s="12" t="s">
        <v>968</v>
      </c>
      <c r="I332" s="12" t="s">
        <v>893</v>
      </c>
      <c r="J332" s="12" t="s">
        <v>894</v>
      </c>
      <c r="K332" s="12" t="s">
        <v>895</v>
      </c>
      <c r="L332" s="12"/>
      <c r="M332" s="11"/>
      <c r="N332" s="11"/>
      <c r="O332" s="11"/>
      <c r="P332" s="11"/>
    </row>
    <row r="333" spans="1:16" x14ac:dyDescent="0.25">
      <c r="A333" s="696">
        <v>56211</v>
      </c>
      <c r="B333" s="696">
        <v>1531</v>
      </c>
      <c r="C333" s="696">
        <v>100</v>
      </c>
      <c r="D333" s="696">
        <v>2200</v>
      </c>
      <c r="F333" s="700" t="s">
        <v>1282</v>
      </c>
      <c r="G333" s="701">
        <v>2500</v>
      </c>
      <c r="H333" s="12" t="s">
        <v>997</v>
      </c>
      <c r="I333" s="12" t="s">
        <v>893</v>
      </c>
      <c r="J333" s="12" t="s">
        <v>906</v>
      </c>
      <c r="K333" s="12" t="s">
        <v>895</v>
      </c>
      <c r="L333" s="12"/>
      <c r="M333" s="11"/>
      <c r="N333" s="11"/>
      <c r="O333" s="11"/>
      <c r="P333" s="11"/>
    </row>
    <row r="334" spans="1:16" x14ac:dyDescent="0.25">
      <c r="A334" s="696">
        <v>56211</v>
      </c>
      <c r="B334" s="696">
        <v>1534</v>
      </c>
      <c r="C334" s="696">
        <v>100</v>
      </c>
      <c r="D334" s="696">
        <v>2700</v>
      </c>
      <c r="F334" s="700" t="s">
        <v>1282</v>
      </c>
      <c r="G334" s="701">
        <v>2.04</v>
      </c>
      <c r="H334" s="12" t="s">
        <v>997</v>
      </c>
      <c r="I334" s="12" t="s">
        <v>913</v>
      </c>
      <c r="J334" s="12" t="s">
        <v>934</v>
      </c>
      <c r="K334" s="12" t="s">
        <v>895</v>
      </c>
      <c r="L334" s="12"/>
      <c r="M334" s="11"/>
      <c r="N334" s="11"/>
      <c r="O334" s="11"/>
      <c r="P334" s="11"/>
    </row>
    <row r="335" spans="1:16" x14ac:dyDescent="0.25">
      <c r="A335" s="696">
        <v>56211</v>
      </c>
      <c r="B335" s="696">
        <v>1534</v>
      </c>
      <c r="C335" s="696">
        <v>400</v>
      </c>
      <c r="D335" s="696">
        <v>2700</v>
      </c>
      <c r="F335" s="700" t="s">
        <v>1282</v>
      </c>
      <c r="G335" s="701">
        <v>1.71</v>
      </c>
      <c r="H335" s="12" t="s">
        <v>997</v>
      </c>
      <c r="I335" s="12" t="s">
        <v>913</v>
      </c>
      <c r="J335" s="12" t="s">
        <v>934</v>
      </c>
      <c r="K335" s="12" t="s">
        <v>895</v>
      </c>
      <c r="L335" s="12"/>
      <c r="M335" s="11"/>
      <c r="N335" s="11"/>
      <c r="O335" s="11"/>
      <c r="P335" s="11"/>
    </row>
    <row r="336" spans="1:16" x14ac:dyDescent="0.25">
      <c r="A336" s="696">
        <v>56211</v>
      </c>
      <c r="B336" s="696">
        <v>1756</v>
      </c>
      <c r="C336" s="696">
        <v>615</v>
      </c>
      <c r="D336" s="696">
        <v>1000</v>
      </c>
      <c r="F336" s="700" t="s">
        <v>1282</v>
      </c>
      <c r="G336" s="701">
        <v>25.38</v>
      </c>
      <c r="H336" s="12" t="s">
        <v>997</v>
      </c>
      <c r="I336" s="12" t="s">
        <v>937</v>
      </c>
      <c r="J336" s="12" t="s">
        <v>894</v>
      </c>
      <c r="K336" s="12" t="s">
        <v>895</v>
      </c>
      <c r="L336" s="12"/>
      <c r="M336" s="11"/>
      <c r="N336" s="11"/>
      <c r="O336" s="11"/>
      <c r="P336" s="11"/>
    </row>
    <row r="337" spans="1:16" x14ac:dyDescent="0.25">
      <c r="A337" s="696">
        <v>56211</v>
      </c>
      <c r="B337" s="696">
        <v>1774</v>
      </c>
      <c r="C337" s="696">
        <v>615</v>
      </c>
      <c r="D337" s="696">
        <v>1000</v>
      </c>
      <c r="F337" s="700" t="s">
        <v>1282</v>
      </c>
      <c r="G337" s="701">
        <v>9.1999999999999993</v>
      </c>
      <c r="H337" s="12" t="s">
        <v>997</v>
      </c>
      <c r="I337" s="12" t="s">
        <v>937</v>
      </c>
      <c r="J337" s="12" t="s">
        <v>894</v>
      </c>
      <c r="K337" s="12" t="s">
        <v>895</v>
      </c>
      <c r="L337" s="12"/>
      <c r="M337" s="11"/>
      <c r="N337" s="11"/>
      <c r="O337" s="11"/>
      <c r="P337" s="11"/>
    </row>
    <row r="338" spans="1:16" x14ac:dyDescent="0.25">
      <c r="A338" s="696">
        <v>56211</v>
      </c>
      <c r="B338" s="696">
        <v>1785</v>
      </c>
      <c r="C338" s="696">
        <v>615</v>
      </c>
      <c r="D338" s="696">
        <v>1000</v>
      </c>
      <c r="F338" s="700" t="s">
        <v>1282</v>
      </c>
      <c r="G338" s="701">
        <v>16.03</v>
      </c>
      <c r="H338" s="12" t="s">
        <v>997</v>
      </c>
      <c r="I338" s="12" t="s">
        <v>937</v>
      </c>
      <c r="J338" s="12" t="s">
        <v>894</v>
      </c>
      <c r="K338" s="12" t="s">
        <v>895</v>
      </c>
      <c r="L338" s="12"/>
      <c r="M338" s="11"/>
      <c r="N338" s="11"/>
      <c r="O338" s="11"/>
      <c r="P338" s="11"/>
    </row>
    <row r="339" spans="1:16" x14ac:dyDescent="0.25">
      <c r="A339" s="696">
        <v>56211</v>
      </c>
      <c r="B339" s="696">
        <v>1795</v>
      </c>
      <c r="C339" s="696">
        <v>615</v>
      </c>
      <c r="D339" s="696">
        <v>1000</v>
      </c>
      <c r="F339" s="700" t="s">
        <v>1282</v>
      </c>
      <c r="G339" s="701">
        <v>8.06</v>
      </c>
      <c r="H339" s="12" t="s">
        <v>997</v>
      </c>
      <c r="I339" s="12" t="s">
        <v>937</v>
      </c>
      <c r="J339" s="12" t="s">
        <v>894</v>
      </c>
      <c r="K339" s="12" t="s">
        <v>895</v>
      </c>
      <c r="L339" s="12"/>
      <c r="M339" s="11"/>
      <c r="N339" s="11"/>
      <c r="O339" s="11"/>
      <c r="P339" s="11"/>
    </row>
    <row r="340" spans="1:16" x14ac:dyDescent="0.25">
      <c r="A340" s="696">
        <v>56211</v>
      </c>
      <c r="B340" s="696">
        <v>1808</v>
      </c>
      <c r="C340" s="696">
        <v>615</v>
      </c>
      <c r="D340" s="696">
        <v>1000</v>
      </c>
      <c r="F340" s="700" t="s">
        <v>1282</v>
      </c>
      <c r="G340" s="701">
        <v>16.02</v>
      </c>
      <c r="H340" s="12" t="s">
        <v>997</v>
      </c>
      <c r="I340" s="12" t="s">
        <v>937</v>
      </c>
      <c r="J340" s="12" t="s">
        <v>894</v>
      </c>
      <c r="K340" s="12" t="s">
        <v>895</v>
      </c>
      <c r="L340" s="12"/>
      <c r="M340" s="11"/>
      <c r="N340" s="11"/>
      <c r="O340" s="11"/>
      <c r="P340" s="11"/>
    </row>
    <row r="341" spans="1:16" x14ac:dyDescent="0.25">
      <c r="A341" s="696">
        <v>56211</v>
      </c>
      <c r="B341" s="696">
        <v>1810</v>
      </c>
      <c r="C341" s="696">
        <v>615</v>
      </c>
      <c r="D341" s="696">
        <v>1000</v>
      </c>
      <c r="F341" s="700" t="s">
        <v>1282</v>
      </c>
      <c r="G341" s="701">
        <v>16.07</v>
      </c>
      <c r="H341" s="12" t="s">
        <v>997</v>
      </c>
      <c r="I341" s="12" t="s">
        <v>937</v>
      </c>
      <c r="J341" s="12" t="s">
        <v>894</v>
      </c>
      <c r="K341" s="12" t="s">
        <v>895</v>
      </c>
      <c r="L341" s="12"/>
      <c r="M341" s="11"/>
      <c r="N341" s="11"/>
      <c r="O341" s="11"/>
      <c r="P341" s="11"/>
    </row>
    <row r="342" spans="1:16" x14ac:dyDescent="0.25">
      <c r="A342" s="696">
        <v>56211</v>
      </c>
      <c r="B342" s="696">
        <v>1812</v>
      </c>
      <c r="C342" s="696">
        <v>615</v>
      </c>
      <c r="D342" s="696">
        <v>1000</v>
      </c>
      <c r="F342" s="700" t="s">
        <v>1282</v>
      </c>
      <c r="G342" s="701">
        <v>27.95</v>
      </c>
      <c r="H342" s="12" t="s">
        <v>997</v>
      </c>
      <c r="I342" s="12" t="s">
        <v>937</v>
      </c>
      <c r="J342" s="12" t="s">
        <v>894</v>
      </c>
      <c r="K342" s="12" t="s">
        <v>895</v>
      </c>
      <c r="L342" s="12"/>
      <c r="M342" s="11"/>
      <c r="N342" s="11"/>
      <c r="O342" s="11"/>
      <c r="P342" s="11"/>
    </row>
    <row r="343" spans="1:16" x14ac:dyDescent="0.25">
      <c r="A343" s="696">
        <v>56211</v>
      </c>
      <c r="B343" s="696">
        <v>1817</v>
      </c>
      <c r="C343" s="696">
        <v>615</v>
      </c>
      <c r="D343" s="696">
        <v>1000</v>
      </c>
      <c r="F343" s="700" t="s">
        <v>1282</v>
      </c>
      <c r="G343" s="701">
        <v>10.82</v>
      </c>
      <c r="H343" s="12" t="s">
        <v>997</v>
      </c>
      <c r="I343" s="12" t="s">
        <v>937</v>
      </c>
      <c r="J343" s="12" t="s">
        <v>894</v>
      </c>
      <c r="K343" s="12" t="s">
        <v>895</v>
      </c>
      <c r="L343" s="12"/>
      <c r="M343" s="11"/>
      <c r="N343" s="11"/>
      <c r="O343" s="11"/>
      <c r="P343" s="11"/>
    </row>
    <row r="344" spans="1:16" x14ac:dyDescent="0.25">
      <c r="A344" s="696">
        <v>56211</v>
      </c>
      <c r="B344" s="696">
        <v>1835</v>
      </c>
      <c r="C344" s="696">
        <v>615</v>
      </c>
      <c r="D344" s="696">
        <v>1000</v>
      </c>
      <c r="F344" s="700" t="s">
        <v>1282</v>
      </c>
      <c r="G344" s="701">
        <v>16.86</v>
      </c>
      <c r="H344" s="12" t="s">
        <v>997</v>
      </c>
      <c r="I344" s="12" t="s">
        <v>937</v>
      </c>
      <c r="J344" s="12" t="s">
        <v>894</v>
      </c>
      <c r="K344" s="12" t="s">
        <v>895</v>
      </c>
      <c r="L344" s="12"/>
      <c r="M344" s="11"/>
      <c r="N344" s="11"/>
      <c r="O344" s="11"/>
      <c r="P344" s="11"/>
    </row>
    <row r="345" spans="1:16" x14ac:dyDescent="0.25">
      <c r="A345" s="696">
        <v>56211</v>
      </c>
      <c r="B345" s="696">
        <v>1853</v>
      </c>
      <c r="C345" s="696">
        <v>615</v>
      </c>
      <c r="D345" s="696">
        <v>1000</v>
      </c>
      <c r="F345" s="700" t="s">
        <v>1282</v>
      </c>
      <c r="G345" s="701">
        <v>15.36</v>
      </c>
      <c r="H345" s="12" t="s">
        <v>997</v>
      </c>
      <c r="I345" s="12" t="s">
        <v>937</v>
      </c>
      <c r="J345" s="12" t="s">
        <v>894</v>
      </c>
      <c r="K345" s="12" t="s">
        <v>895</v>
      </c>
      <c r="L345" s="12"/>
      <c r="M345" s="11"/>
      <c r="N345" s="11"/>
      <c r="O345" s="11"/>
      <c r="P345" s="11"/>
    </row>
    <row r="346" spans="1:16" x14ac:dyDescent="0.25">
      <c r="A346" s="696">
        <v>56211</v>
      </c>
      <c r="B346" s="696">
        <v>1859</v>
      </c>
      <c r="C346" s="696">
        <v>615</v>
      </c>
      <c r="D346" s="696">
        <v>1000</v>
      </c>
      <c r="F346" s="700" t="s">
        <v>1282</v>
      </c>
      <c r="G346" s="701">
        <v>17.05</v>
      </c>
      <c r="H346" s="12" t="s">
        <v>997</v>
      </c>
      <c r="I346" s="12" t="s">
        <v>937</v>
      </c>
      <c r="J346" s="12" t="s">
        <v>894</v>
      </c>
      <c r="K346" s="12" t="s">
        <v>895</v>
      </c>
      <c r="L346" s="12"/>
      <c r="M346" s="11"/>
      <c r="N346" s="11"/>
      <c r="O346" s="11"/>
      <c r="P346" s="11"/>
    </row>
    <row r="347" spans="1:16" x14ac:dyDescent="0.25">
      <c r="A347" s="696">
        <v>56211</v>
      </c>
      <c r="B347" s="696">
        <v>1867</v>
      </c>
      <c r="C347" s="696">
        <v>615</v>
      </c>
      <c r="D347" s="696">
        <v>1000</v>
      </c>
      <c r="F347" s="700" t="s">
        <v>1282</v>
      </c>
      <c r="G347" s="701">
        <v>8.99</v>
      </c>
      <c r="H347" s="12" t="s">
        <v>997</v>
      </c>
      <c r="I347" s="12" t="s">
        <v>937</v>
      </c>
      <c r="J347" s="12" t="s">
        <v>894</v>
      </c>
      <c r="K347" s="12" t="s">
        <v>895</v>
      </c>
      <c r="L347" s="12"/>
      <c r="M347" s="11"/>
      <c r="N347" s="11"/>
      <c r="O347" s="11"/>
      <c r="P347" s="11"/>
    </row>
    <row r="348" spans="1:16" x14ac:dyDescent="0.25">
      <c r="A348" s="696">
        <v>56212</v>
      </c>
      <c r="B348" s="696">
        <v>1000</v>
      </c>
      <c r="C348" s="696">
        <v>100</v>
      </c>
      <c r="D348" s="696">
        <v>1000</v>
      </c>
      <c r="F348" s="700" t="s">
        <v>1283</v>
      </c>
      <c r="G348" s="701">
        <v>7517.67</v>
      </c>
      <c r="H348" s="12" t="s">
        <v>889</v>
      </c>
      <c r="I348" s="12" t="s">
        <v>893</v>
      </c>
      <c r="J348" s="12" t="s">
        <v>894</v>
      </c>
      <c r="K348" s="12" t="s">
        <v>895</v>
      </c>
      <c r="L348" s="12"/>
      <c r="M348" s="11"/>
      <c r="N348" s="11"/>
      <c r="O348" s="11"/>
      <c r="P348" s="11"/>
    </row>
    <row r="349" spans="1:16" x14ac:dyDescent="0.25">
      <c r="A349" s="696">
        <v>56212</v>
      </c>
      <c r="B349" s="696">
        <v>1000</v>
      </c>
      <c r="C349" s="696">
        <v>100</v>
      </c>
      <c r="D349" s="696">
        <v>2100</v>
      </c>
      <c r="F349" s="700" t="s">
        <v>1283</v>
      </c>
      <c r="G349" s="701">
        <v>3120.93</v>
      </c>
      <c r="H349" s="12" t="s">
        <v>889</v>
      </c>
      <c r="I349" s="12" t="s">
        <v>893</v>
      </c>
      <c r="J349" s="12" t="s">
        <v>902</v>
      </c>
      <c r="K349" s="12" t="s">
        <v>895</v>
      </c>
      <c r="L349" s="12"/>
      <c r="M349" s="11"/>
      <c r="N349" s="11"/>
      <c r="O349" s="11"/>
      <c r="P349" s="11"/>
    </row>
    <row r="350" spans="1:16" x14ac:dyDescent="0.25">
      <c r="A350" s="696">
        <v>56212</v>
      </c>
      <c r="B350" s="696">
        <v>1000</v>
      </c>
      <c r="C350" s="696">
        <v>100</v>
      </c>
      <c r="D350" s="696">
        <v>2110</v>
      </c>
      <c r="F350" s="700" t="s">
        <v>1283</v>
      </c>
      <c r="G350" s="701">
        <v>77.05</v>
      </c>
      <c r="H350" s="12" t="s">
        <v>889</v>
      </c>
      <c r="I350" s="12" t="s">
        <v>893</v>
      </c>
      <c r="J350" s="12" t="s">
        <v>902</v>
      </c>
      <c r="K350" s="12" t="s">
        <v>895</v>
      </c>
      <c r="L350" s="12"/>
      <c r="M350" s="11"/>
      <c r="N350" s="11"/>
      <c r="O350" s="11"/>
      <c r="P350" s="11"/>
    </row>
    <row r="351" spans="1:16" x14ac:dyDescent="0.25">
      <c r="A351" s="696">
        <v>56212</v>
      </c>
      <c r="B351" s="696">
        <v>1000</v>
      </c>
      <c r="C351" s="696">
        <v>100</v>
      </c>
      <c r="D351" s="696">
        <v>2200</v>
      </c>
      <c r="F351" s="700" t="s">
        <v>1283</v>
      </c>
      <c r="G351" s="701">
        <v>673.63</v>
      </c>
      <c r="H351" s="12" t="s">
        <v>889</v>
      </c>
      <c r="I351" s="12" t="s">
        <v>893</v>
      </c>
      <c r="J351" s="12" t="s">
        <v>906</v>
      </c>
      <c r="K351" s="12" t="s">
        <v>895</v>
      </c>
      <c r="L351" s="12"/>
      <c r="M351" s="11"/>
      <c r="N351" s="11"/>
      <c r="O351" s="11"/>
      <c r="P351" s="11"/>
    </row>
    <row r="352" spans="1:16" x14ac:dyDescent="0.25">
      <c r="A352" s="696">
        <v>56212</v>
      </c>
      <c r="B352" s="696">
        <v>1000</v>
      </c>
      <c r="C352" s="696">
        <v>100</v>
      </c>
      <c r="D352" s="696">
        <v>2300</v>
      </c>
      <c r="F352" s="700" t="s">
        <v>1283</v>
      </c>
      <c r="G352" s="701">
        <v>113.53</v>
      </c>
      <c r="H352" s="12" t="s">
        <v>889</v>
      </c>
      <c r="I352" s="12" t="s">
        <v>893</v>
      </c>
      <c r="J352" s="12" t="s">
        <v>918</v>
      </c>
      <c r="K352" s="12" t="s">
        <v>895</v>
      </c>
      <c r="L352" s="12"/>
      <c r="M352" s="11"/>
      <c r="N352" s="11"/>
      <c r="O352" s="11"/>
      <c r="P352" s="11"/>
    </row>
    <row r="353" spans="1:16" x14ac:dyDescent="0.25">
      <c r="A353" s="696">
        <v>56212</v>
      </c>
      <c r="B353" s="696">
        <v>1000</v>
      </c>
      <c r="C353" s="696">
        <v>100</v>
      </c>
      <c r="D353" s="696">
        <v>2310</v>
      </c>
      <c r="F353" s="700" t="s">
        <v>1283</v>
      </c>
      <c r="G353" s="701">
        <v>38.53</v>
      </c>
      <c r="H353" s="12" t="s">
        <v>889</v>
      </c>
      <c r="I353" s="12" t="s">
        <v>893</v>
      </c>
      <c r="J353" s="12" t="s">
        <v>918</v>
      </c>
      <c r="K353" s="12" t="s">
        <v>895</v>
      </c>
      <c r="L353" s="12"/>
      <c r="M353" s="11"/>
      <c r="N353" s="11"/>
      <c r="O353" s="11"/>
      <c r="P353" s="11"/>
    </row>
    <row r="354" spans="1:16" x14ac:dyDescent="0.25">
      <c r="A354" s="696">
        <v>56212</v>
      </c>
      <c r="B354" s="696">
        <v>1000</v>
      </c>
      <c r="C354" s="696">
        <v>100</v>
      </c>
      <c r="D354" s="696">
        <v>2400</v>
      </c>
      <c r="F354" s="700" t="s">
        <v>1283</v>
      </c>
      <c r="G354" s="701">
        <v>466.33</v>
      </c>
      <c r="H354" s="12" t="s">
        <v>889</v>
      </c>
      <c r="I354" s="12" t="s">
        <v>893</v>
      </c>
      <c r="J354" s="12" t="s">
        <v>922</v>
      </c>
      <c r="K354" s="12" t="s">
        <v>895</v>
      </c>
      <c r="L354" s="12"/>
      <c r="M354" s="11"/>
      <c r="N354" s="11"/>
      <c r="O354" s="11"/>
      <c r="P354" s="11"/>
    </row>
    <row r="355" spans="1:16" x14ac:dyDescent="0.25">
      <c r="A355" s="696">
        <v>56212</v>
      </c>
      <c r="B355" s="696">
        <v>1000</v>
      </c>
      <c r="C355" s="696">
        <v>100</v>
      </c>
      <c r="D355" s="696">
        <v>2410</v>
      </c>
      <c r="F355" s="700" t="s">
        <v>1283</v>
      </c>
      <c r="G355" s="701">
        <v>69</v>
      </c>
      <c r="H355" s="12" t="s">
        <v>889</v>
      </c>
      <c r="I355" s="12" t="s">
        <v>893</v>
      </c>
      <c r="J355" s="12" t="s">
        <v>922</v>
      </c>
      <c r="K355" s="12" t="s">
        <v>895</v>
      </c>
      <c r="L355" s="12"/>
      <c r="M355" s="11"/>
      <c r="N355" s="11"/>
      <c r="O355" s="11"/>
      <c r="P355" s="11"/>
    </row>
    <row r="356" spans="1:16" x14ac:dyDescent="0.25">
      <c r="A356" s="696">
        <v>56212</v>
      </c>
      <c r="B356" s="696">
        <v>1000</v>
      </c>
      <c r="C356" s="696">
        <v>100</v>
      </c>
      <c r="D356" s="696">
        <v>2500</v>
      </c>
      <c r="F356" s="700" t="s">
        <v>1283</v>
      </c>
      <c r="G356" s="701">
        <v>242.38</v>
      </c>
      <c r="H356" s="12" t="s">
        <v>889</v>
      </c>
      <c r="I356" s="12" t="s">
        <v>893</v>
      </c>
      <c r="J356" s="12" t="s">
        <v>926</v>
      </c>
      <c r="K356" s="12" t="s">
        <v>895</v>
      </c>
      <c r="L356" s="12"/>
      <c r="M356" s="11"/>
      <c r="N356" s="11"/>
      <c r="O356" s="11"/>
      <c r="P356" s="11"/>
    </row>
    <row r="357" spans="1:16" x14ac:dyDescent="0.25">
      <c r="A357" s="696">
        <v>56212</v>
      </c>
      <c r="B357" s="696">
        <v>1000</v>
      </c>
      <c r="C357" s="696">
        <v>100</v>
      </c>
      <c r="D357" s="696">
        <v>2510</v>
      </c>
      <c r="F357" s="700" t="s">
        <v>1283</v>
      </c>
      <c r="G357" s="701">
        <v>40.07</v>
      </c>
      <c r="H357" s="12" t="s">
        <v>889</v>
      </c>
      <c r="I357" s="12" t="s">
        <v>893</v>
      </c>
      <c r="J357" s="12" t="s">
        <v>926</v>
      </c>
      <c r="K357" s="12" t="s">
        <v>895</v>
      </c>
      <c r="L357" s="12"/>
      <c r="M357" s="11"/>
      <c r="N357" s="11"/>
      <c r="O357" s="11"/>
      <c r="P357" s="11"/>
    </row>
    <row r="358" spans="1:16" x14ac:dyDescent="0.25">
      <c r="A358" s="696">
        <v>56212</v>
      </c>
      <c r="B358" s="696">
        <v>1000</v>
      </c>
      <c r="C358" s="696">
        <v>100</v>
      </c>
      <c r="D358" s="696">
        <v>2600</v>
      </c>
      <c r="F358" s="700" t="s">
        <v>1283</v>
      </c>
      <c r="G358" s="701">
        <v>115.58</v>
      </c>
      <c r="H358" s="12" t="s">
        <v>889</v>
      </c>
      <c r="I358" s="12" t="s">
        <v>893</v>
      </c>
      <c r="J358" s="12" t="s">
        <v>930</v>
      </c>
      <c r="K358" s="12" t="s">
        <v>895</v>
      </c>
      <c r="L358" s="12"/>
      <c r="M358" s="11"/>
      <c r="N358" s="11"/>
      <c r="O358" s="11"/>
      <c r="P358" s="11"/>
    </row>
    <row r="359" spans="1:16" x14ac:dyDescent="0.25">
      <c r="A359" s="696">
        <v>56212</v>
      </c>
      <c r="B359" s="696">
        <v>1000</v>
      </c>
      <c r="C359" s="696">
        <v>100</v>
      </c>
      <c r="D359" s="696">
        <v>2700</v>
      </c>
      <c r="F359" s="700" t="s">
        <v>1283</v>
      </c>
      <c r="G359" s="701">
        <v>0.21</v>
      </c>
      <c r="H359" s="12" t="s">
        <v>889</v>
      </c>
      <c r="I359" s="12" t="s">
        <v>913</v>
      </c>
      <c r="J359" s="12" t="s">
        <v>934</v>
      </c>
      <c r="K359" s="12" t="s">
        <v>895</v>
      </c>
      <c r="L359" s="12"/>
      <c r="M359" s="11"/>
      <c r="N359" s="11"/>
      <c r="O359" s="11"/>
      <c r="P359" s="11"/>
    </row>
    <row r="360" spans="1:16" x14ac:dyDescent="0.25">
      <c r="A360" s="696">
        <v>56212</v>
      </c>
      <c r="B360" s="696">
        <v>1000</v>
      </c>
      <c r="C360" s="696">
        <v>100</v>
      </c>
      <c r="D360" s="696">
        <v>3100</v>
      </c>
      <c r="F360" s="700" t="s">
        <v>1283</v>
      </c>
      <c r="G360" s="701">
        <v>38.53</v>
      </c>
      <c r="H360" s="12" t="s">
        <v>889</v>
      </c>
      <c r="I360" s="12" t="s">
        <v>893</v>
      </c>
      <c r="J360" s="12" t="s">
        <v>942</v>
      </c>
      <c r="K360" s="12" t="s">
        <v>895</v>
      </c>
      <c r="L360" s="12"/>
      <c r="M360" s="11"/>
      <c r="N360" s="11"/>
      <c r="O360" s="11"/>
      <c r="P360" s="11"/>
    </row>
    <row r="361" spans="1:16" x14ac:dyDescent="0.25">
      <c r="A361" s="696">
        <v>56212</v>
      </c>
      <c r="B361" s="696">
        <v>1000</v>
      </c>
      <c r="C361" s="696">
        <v>200</v>
      </c>
      <c r="D361" s="696">
        <v>1000</v>
      </c>
      <c r="F361" s="700" t="s">
        <v>1283</v>
      </c>
      <c r="G361" s="701">
        <v>491.19</v>
      </c>
      <c r="H361" s="12" t="s">
        <v>889</v>
      </c>
      <c r="I361" s="12" t="s">
        <v>897</v>
      </c>
      <c r="J361" s="12" t="s">
        <v>894</v>
      </c>
      <c r="K361" s="12" t="s">
        <v>895</v>
      </c>
      <c r="L361" s="12"/>
      <c r="M361" s="11"/>
      <c r="N361" s="11"/>
      <c r="O361" s="11"/>
      <c r="P361" s="11"/>
    </row>
    <row r="362" spans="1:16" x14ac:dyDescent="0.25">
      <c r="A362" s="696">
        <v>56212</v>
      </c>
      <c r="B362" s="696">
        <v>1000</v>
      </c>
      <c r="C362" s="696">
        <v>200</v>
      </c>
      <c r="D362" s="696">
        <v>2100</v>
      </c>
      <c r="F362" s="700" t="s">
        <v>1283</v>
      </c>
      <c r="G362" s="701">
        <v>23.34</v>
      </c>
      <c r="H362" s="12" t="s">
        <v>889</v>
      </c>
      <c r="I362" s="12" t="s">
        <v>897</v>
      </c>
      <c r="J362" s="12" t="s">
        <v>902</v>
      </c>
      <c r="K362" s="12" t="s">
        <v>895</v>
      </c>
      <c r="L362" s="12"/>
      <c r="M362" s="11"/>
      <c r="N362" s="11"/>
      <c r="O362" s="11"/>
      <c r="P362" s="11"/>
    </row>
    <row r="363" spans="1:16" x14ac:dyDescent="0.25">
      <c r="A363" s="696">
        <v>56212</v>
      </c>
      <c r="B363" s="696">
        <v>1000</v>
      </c>
      <c r="C363" s="696">
        <v>200</v>
      </c>
      <c r="D363" s="696">
        <v>2200</v>
      </c>
      <c r="F363" s="700" t="s">
        <v>1283</v>
      </c>
      <c r="G363" s="701">
        <v>75</v>
      </c>
      <c r="H363" s="12" t="s">
        <v>889</v>
      </c>
      <c r="I363" s="12" t="s">
        <v>897</v>
      </c>
      <c r="J363" s="12" t="s">
        <v>906</v>
      </c>
      <c r="K363" s="12" t="s">
        <v>895</v>
      </c>
      <c r="L363" s="12"/>
      <c r="M363" s="11"/>
      <c r="N363" s="11"/>
      <c r="O363" s="11"/>
      <c r="P363" s="11"/>
    </row>
    <row r="364" spans="1:16" x14ac:dyDescent="0.25">
      <c r="A364" s="696">
        <v>56212</v>
      </c>
      <c r="B364" s="696">
        <v>1000</v>
      </c>
      <c r="C364" s="696">
        <v>200</v>
      </c>
      <c r="D364" s="696">
        <v>2500</v>
      </c>
      <c r="F364" s="700" t="s">
        <v>1283</v>
      </c>
      <c r="G364" s="701">
        <v>0</v>
      </c>
      <c r="H364" s="12" t="s">
        <v>889</v>
      </c>
      <c r="I364" s="12" t="s">
        <v>897</v>
      </c>
      <c r="J364" s="12" t="s">
        <v>926</v>
      </c>
      <c r="K364" s="12" t="s">
        <v>895</v>
      </c>
      <c r="L364" s="12"/>
      <c r="M364" s="11"/>
      <c r="N364" s="11"/>
      <c r="O364" s="11"/>
      <c r="P364" s="11"/>
    </row>
    <row r="365" spans="1:16" x14ac:dyDescent="0.25">
      <c r="A365" s="696">
        <v>56212</v>
      </c>
      <c r="B365" s="696">
        <v>1000</v>
      </c>
      <c r="C365" s="696">
        <v>240</v>
      </c>
      <c r="D365" s="696">
        <v>1000</v>
      </c>
      <c r="F365" s="700" t="s">
        <v>1283</v>
      </c>
      <c r="G365" s="701">
        <v>30.82</v>
      </c>
      <c r="H365" s="12" t="s">
        <v>889</v>
      </c>
      <c r="I365" s="12" t="s">
        <v>897</v>
      </c>
      <c r="J365" s="12" t="s">
        <v>894</v>
      </c>
      <c r="K365" s="12" t="s">
        <v>895</v>
      </c>
      <c r="L365" s="12"/>
      <c r="M365" s="11"/>
      <c r="N365" s="11"/>
      <c r="O365" s="11"/>
      <c r="P365" s="11"/>
    </row>
    <row r="366" spans="1:16" x14ac:dyDescent="0.25">
      <c r="A366" s="696">
        <v>56212</v>
      </c>
      <c r="B366" s="696">
        <v>1000</v>
      </c>
      <c r="C366" s="696">
        <v>260</v>
      </c>
      <c r="D366" s="696">
        <v>1000</v>
      </c>
      <c r="F366" s="700" t="s">
        <v>1283</v>
      </c>
      <c r="G366" s="701">
        <v>74.05</v>
      </c>
      <c r="H366" s="12" t="s">
        <v>896</v>
      </c>
      <c r="I366" s="12" t="s">
        <v>901</v>
      </c>
      <c r="J366" s="12" t="s">
        <v>894</v>
      </c>
      <c r="K366" s="12" t="s">
        <v>895</v>
      </c>
      <c r="L366" s="12"/>
      <c r="M366" s="11"/>
      <c r="N366" s="11"/>
      <c r="O366" s="11"/>
      <c r="P366" s="11"/>
    </row>
    <row r="367" spans="1:16" x14ac:dyDescent="0.25">
      <c r="A367" s="696">
        <v>56212</v>
      </c>
      <c r="B367" s="696">
        <v>1000</v>
      </c>
      <c r="C367" s="696">
        <v>400</v>
      </c>
      <c r="D367" s="696">
        <v>2700</v>
      </c>
      <c r="F367" s="700" t="s">
        <v>1283</v>
      </c>
      <c r="G367" s="701">
        <v>9.42</v>
      </c>
      <c r="H367" s="12" t="s">
        <v>889</v>
      </c>
      <c r="I367" s="12" t="s">
        <v>913</v>
      </c>
      <c r="J367" s="12" t="s">
        <v>934</v>
      </c>
      <c r="K367" s="12" t="s">
        <v>895</v>
      </c>
      <c r="L367" s="12"/>
      <c r="M367" s="11"/>
      <c r="N367" s="11"/>
      <c r="O367" s="11"/>
      <c r="P367" s="11"/>
    </row>
    <row r="368" spans="1:16" x14ac:dyDescent="0.25">
      <c r="A368" s="696">
        <v>56212</v>
      </c>
      <c r="B368" s="696">
        <v>1000</v>
      </c>
      <c r="C368" s="696">
        <v>615</v>
      </c>
      <c r="D368" s="696">
        <v>1000</v>
      </c>
      <c r="F368" s="700" t="s">
        <v>1283</v>
      </c>
      <c r="G368" s="701">
        <v>2.0699999999999998</v>
      </c>
      <c r="H368" s="12" t="s">
        <v>889</v>
      </c>
      <c r="I368" s="12" t="s">
        <v>937</v>
      </c>
      <c r="J368" s="12" t="s">
        <v>894</v>
      </c>
      <c r="K368" s="12" t="s">
        <v>895</v>
      </c>
      <c r="L368" s="12"/>
      <c r="M368" s="11"/>
      <c r="N368" s="11"/>
      <c r="O368" s="11"/>
      <c r="P368" s="11"/>
    </row>
    <row r="369" spans="1:16" x14ac:dyDescent="0.25">
      <c r="A369" s="696">
        <v>56212</v>
      </c>
      <c r="B369" s="696">
        <v>1220</v>
      </c>
      <c r="C369" s="696">
        <v>200</v>
      </c>
      <c r="D369" s="696">
        <v>1000</v>
      </c>
      <c r="F369" s="700" t="s">
        <v>1283</v>
      </c>
      <c r="G369" s="701">
        <v>70.8</v>
      </c>
      <c r="H369" s="12" t="s">
        <v>932</v>
      </c>
      <c r="I369" s="12" t="s">
        <v>897</v>
      </c>
      <c r="J369" s="12" t="s">
        <v>894</v>
      </c>
      <c r="K369" s="12" t="s">
        <v>895</v>
      </c>
      <c r="L369" s="12"/>
      <c r="M369" s="11"/>
      <c r="N369" s="11"/>
      <c r="O369" s="11"/>
      <c r="P369" s="11"/>
    </row>
    <row r="370" spans="1:16" x14ac:dyDescent="0.25">
      <c r="A370" s="696">
        <v>56212</v>
      </c>
      <c r="B370" s="696">
        <v>1220</v>
      </c>
      <c r="C370" s="696">
        <v>200</v>
      </c>
      <c r="D370" s="696">
        <v>2100</v>
      </c>
      <c r="F370" s="700" t="s">
        <v>1283</v>
      </c>
      <c r="G370" s="701">
        <v>287.08</v>
      </c>
      <c r="H370" s="12" t="s">
        <v>932</v>
      </c>
      <c r="I370" s="12" t="s">
        <v>897</v>
      </c>
      <c r="J370" s="12" t="s">
        <v>902</v>
      </c>
      <c r="K370" s="12" t="s">
        <v>895</v>
      </c>
      <c r="L370" s="12"/>
      <c r="M370" s="11"/>
      <c r="N370" s="11"/>
      <c r="O370" s="11"/>
      <c r="P370" s="11"/>
    </row>
    <row r="371" spans="1:16" x14ac:dyDescent="0.25">
      <c r="A371" s="696">
        <v>56211</v>
      </c>
      <c r="B371" s="696">
        <v>1322</v>
      </c>
      <c r="C371" s="696">
        <v>100</v>
      </c>
      <c r="D371" s="696">
        <v>1000</v>
      </c>
      <c r="F371" s="700" t="s">
        <v>1282</v>
      </c>
      <c r="G371" s="701">
        <v>8763.27</v>
      </c>
      <c r="H371" s="12" t="s">
        <v>968</v>
      </c>
      <c r="I371" s="12" t="s">
        <v>893</v>
      </c>
      <c r="J371" s="12" t="s">
        <v>894</v>
      </c>
      <c r="K371" s="12" t="s">
        <v>895</v>
      </c>
      <c r="L371" s="12"/>
      <c r="M371" s="11"/>
      <c r="N371" s="11"/>
      <c r="O371" s="11"/>
      <c r="P371" s="11"/>
    </row>
    <row r="372" spans="1:16" x14ac:dyDescent="0.25">
      <c r="A372" s="696">
        <v>56212</v>
      </c>
      <c r="B372" s="696">
        <v>1322</v>
      </c>
      <c r="C372" s="696">
        <v>100</v>
      </c>
      <c r="D372" s="696">
        <v>1000</v>
      </c>
      <c r="F372" s="700" t="s">
        <v>1283</v>
      </c>
      <c r="G372" s="701">
        <v>1504.5</v>
      </c>
      <c r="H372" s="12" t="s">
        <v>968</v>
      </c>
      <c r="I372" s="12" t="s">
        <v>893</v>
      </c>
      <c r="J372" s="12" t="s">
        <v>894</v>
      </c>
      <c r="K372" s="12" t="s">
        <v>895</v>
      </c>
      <c r="L372" s="12"/>
      <c r="M372" s="11"/>
      <c r="N372" s="11"/>
      <c r="O372" s="11"/>
      <c r="P372" s="11"/>
    </row>
    <row r="373" spans="1:16" x14ac:dyDescent="0.25">
      <c r="A373" s="696">
        <v>56213</v>
      </c>
      <c r="B373" s="696">
        <v>1322</v>
      </c>
      <c r="C373" s="696">
        <v>100</v>
      </c>
      <c r="D373" s="696">
        <v>1000</v>
      </c>
      <c r="F373" s="700" t="s">
        <v>1284</v>
      </c>
      <c r="G373" s="701">
        <v>702.1</v>
      </c>
      <c r="H373" s="12" t="s">
        <v>968</v>
      </c>
      <c r="I373" s="12" t="s">
        <v>893</v>
      </c>
      <c r="J373" s="12" t="s">
        <v>894</v>
      </c>
      <c r="K373" s="12" t="s">
        <v>895</v>
      </c>
      <c r="L373" s="12"/>
      <c r="M373" s="11"/>
      <c r="N373" s="11"/>
      <c r="O373" s="11"/>
      <c r="P373" s="11"/>
    </row>
    <row r="374" spans="1:16" x14ac:dyDescent="0.25">
      <c r="A374" s="696">
        <v>56214</v>
      </c>
      <c r="B374" s="696">
        <v>1322</v>
      </c>
      <c r="C374" s="696">
        <v>100</v>
      </c>
      <c r="D374" s="696">
        <v>1000</v>
      </c>
      <c r="F374" s="700" t="s">
        <v>1285</v>
      </c>
      <c r="G374" s="701">
        <v>4038.36</v>
      </c>
      <c r="H374" s="12" t="s">
        <v>968</v>
      </c>
      <c r="I374" s="12" t="s">
        <v>893</v>
      </c>
      <c r="J374" s="12" t="s">
        <v>894</v>
      </c>
      <c r="K374" s="12" t="s">
        <v>895</v>
      </c>
      <c r="L374" s="12"/>
      <c r="M374" s="11"/>
      <c r="N374" s="11"/>
      <c r="O374" s="11"/>
      <c r="P374" s="11"/>
    </row>
    <row r="375" spans="1:16" x14ac:dyDescent="0.25">
      <c r="A375" s="696">
        <v>56221</v>
      </c>
      <c r="B375" s="696">
        <v>1322</v>
      </c>
      <c r="C375" s="696">
        <v>100</v>
      </c>
      <c r="D375" s="696">
        <v>1000</v>
      </c>
      <c r="F375" s="700" t="s">
        <v>1286</v>
      </c>
      <c r="G375" s="701">
        <v>102040.56</v>
      </c>
      <c r="H375" s="12" t="s">
        <v>968</v>
      </c>
      <c r="I375" s="12" t="s">
        <v>893</v>
      </c>
      <c r="J375" s="12" t="s">
        <v>894</v>
      </c>
      <c r="K375" s="12" t="s">
        <v>895</v>
      </c>
      <c r="L375" s="12"/>
      <c r="M375" s="11"/>
      <c r="N375" s="11"/>
      <c r="O375" s="11"/>
      <c r="P375" s="11"/>
    </row>
    <row r="376" spans="1:16" x14ac:dyDescent="0.25">
      <c r="A376" s="696">
        <v>56222</v>
      </c>
      <c r="B376" s="696">
        <v>1322</v>
      </c>
      <c r="C376" s="696">
        <v>100</v>
      </c>
      <c r="D376" s="696">
        <v>1000</v>
      </c>
      <c r="F376" s="700" t="s">
        <v>1287</v>
      </c>
      <c r="G376" s="701">
        <v>23864.59</v>
      </c>
      <c r="H376" s="12" t="s">
        <v>968</v>
      </c>
      <c r="I376" s="12" t="s">
        <v>893</v>
      </c>
      <c r="J376" s="12" t="s">
        <v>894</v>
      </c>
      <c r="K376" s="12" t="s">
        <v>895</v>
      </c>
      <c r="L376" s="12"/>
      <c r="M376" s="11"/>
      <c r="N376" s="11"/>
      <c r="O376" s="11"/>
      <c r="P376" s="11"/>
    </row>
    <row r="377" spans="1:16" x14ac:dyDescent="0.25">
      <c r="A377" s="696">
        <v>56212</v>
      </c>
      <c r="B377" s="696">
        <v>1487</v>
      </c>
      <c r="C377" s="696">
        <v>100</v>
      </c>
      <c r="D377" s="696">
        <v>2100</v>
      </c>
      <c r="F377" s="700" t="s">
        <v>1283</v>
      </c>
      <c r="G377" s="701">
        <v>75</v>
      </c>
      <c r="H377" s="12" t="s">
        <v>995</v>
      </c>
      <c r="I377" s="12" t="s">
        <v>893</v>
      </c>
      <c r="J377" s="12" t="s">
        <v>902</v>
      </c>
      <c r="K377" s="12" t="s">
        <v>895</v>
      </c>
      <c r="L377" s="12"/>
      <c r="M377" s="11"/>
      <c r="N377" s="11"/>
      <c r="O377" s="11"/>
      <c r="P377" s="11"/>
    </row>
    <row r="378" spans="1:16" x14ac:dyDescent="0.25">
      <c r="A378" s="696">
        <v>56212</v>
      </c>
      <c r="B378" s="696">
        <v>1531</v>
      </c>
      <c r="C378" s="696">
        <v>100</v>
      </c>
      <c r="D378" s="696">
        <v>2200</v>
      </c>
      <c r="F378" s="700" t="s">
        <v>1283</v>
      </c>
      <c r="G378" s="701">
        <v>381.33</v>
      </c>
      <c r="H378" s="12" t="s">
        <v>997</v>
      </c>
      <c r="I378" s="12" t="s">
        <v>893</v>
      </c>
      <c r="J378" s="12" t="s">
        <v>906</v>
      </c>
      <c r="K378" s="12" t="s">
        <v>895</v>
      </c>
      <c r="L378" s="12"/>
      <c r="M378" s="11"/>
      <c r="N378" s="11"/>
      <c r="O378" s="11"/>
      <c r="P378" s="11"/>
    </row>
    <row r="379" spans="1:16" x14ac:dyDescent="0.25">
      <c r="A379" s="696">
        <v>56212</v>
      </c>
      <c r="B379" s="696">
        <v>1534</v>
      </c>
      <c r="C379" s="696">
        <v>100</v>
      </c>
      <c r="D379" s="696">
        <v>2700</v>
      </c>
      <c r="F379" s="700" t="s">
        <v>1283</v>
      </c>
      <c r="G379" s="701">
        <v>0.25</v>
      </c>
      <c r="H379" s="12" t="s">
        <v>997</v>
      </c>
      <c r="I379" s="12" t="s">
        <v>913</v>
      </c>
      <c r="J379" s="12" t="s">
        <v>934</v>
      </c>
      <c r="K379" s="12" t="s">
        <v>895</v>
      </c>
      <c r="L379" s="12"/>
      <c r="M379" s="11"/>
      <c r="N379" s="11"/>
      <c r="O379" s="11"/>
      <c r="P379" s="11"/>
    </row>
    <row r="380" spans="1:16" x14ac:dyDescent="0.25">
      <c r="A380" s="696">
        <v>56212</v>
      </c>
      <c r="B380" s="696">
        <v>1534</v>
      </c>
      <c r="C380" s="696">
        <v>400</v>
      </c>
      <c r="D380" s="696">
        <v>2700</v>
      </c>
      <c r="F380" s="700" t="s">
        <v>1283</v>
      </c>
      <c r="G380" s="701">
        <v>11.01</v>
      </c>
      <c r="H380" s="12" t="s">
        <v>997</v>
      </c>
      <c r="I380" s="12" t="s">
        <v>913</v>
      </c>
      <c r="J380" s="12" t="s">
        <v>934</v>
      </c>
      <c r="K380" s="12" t="s">
        <v>895</v>
      </c>
      <c r="L380" s="12"/>
      <c r="M380" s="11"/>
      <c r="N380" s="11"/>
      <c r="O380" s="11"/>
      <c r="P380" s="11"/>
    </row>
    <row r="381" spans="1:16" x14ac:dyDescent="0.25">
      <c r="A381" s="696">
        <v>56212</v>
      </c>
      <c r="B381" s="696">
        <v>1756</v>
      </c>
      <c r="C381" s="696">
        <v>615</v>
      </c>
      <c r="D381" s="696">
        <v>1000</v>
      </c>
      <c r="F381" s="700" t="s">
        <v>1283</v>
      </c>
      <c r="G381" s="701">
        <v>1.52</v>
      </c>
      <c r="H381" s="12" t="s">
        <v>997</v>
      </c>
      <c r="I381" s="12" t="s">
        <v>937</v>
      </c>
      <c r="J381" s="12" t="s">
        <v>894</v>
      </c>
      <c r="K381" s="12" t="s">
        <v>895</v>
      </c>
      <c r="L381" s="12"/>
      <c r="M381" s="11"/>
      <c r="N381" s="11"/>
      <c r="O381" s="11"/>
      <c r="P381" s="11"/>
    </row>
    <row r="382" spans="1:16" x14ac:dyDescent="0.25">
      <c r="A382" s="696">
        <v>56212</v>
      </c>
      <c r="B382" s="696">
        <v>1766</v>
      </c>
      <c r="C382" s="696">
        <v>615</v>
      </c>
      <c r="D382" s="696">
        <v>1000</v>
      </c>
      <c r="F382" s="700" t="s">
        <v>1283</v>
      </c>
      <c r="G382" s="701">
        <v>1.69</v>
      </c>
      <c r="H382" s="12" t="s">
        <v>997</v>
      </c>
      <c r="I382" s="12" t="s">
        <v>937</v>
      </c>
      <c r="J382" s="12" t="s">
        <v>894</v>
      </c>
      <c r="K382" s="12" t="s">
        <v>895</v>
      </c>
      <c r="L382" s="12"/>
      <c r="M382" s="11"/>
      <c r="N382" s="11"/>
      <c r="O382" s="11"/>
      <c r="P382" s="11"/>
    </row>
    <row r="383" spans="1:16" x14ac:dyDescent="0.25">
      <c r="A383" s="696">
        <v>56212</v>
      </c>
      <c r="B383" s="696">
        <v>1769</v>
      </c>
      <c r="C383" s="696">
        <v>615</v>
      </c>
      <c r="D383" s="696">
        <v>1000</v>
      </c>
      <c r="F383" s="700" t="s">
        <v>1283</v>
      </c>
      <c r="G383" s="701">
        <v>0.87</v>
      </c>
      <c r="H383" s="12" t="s">
        <v>997</v>
      </c>
      <c r="I383" s="12" t="s">
        <v>937</v>
      </c>
      <c r="J383" s="12" t="s">
        <v>894</v>
      </c>
      <c r="K383" s="12" t="s">
        <v>895</v>
      </c>
      <c r="L383" s="12"/>
      <c r="M383" s="11"/>
      <c r="N383" s="11"/>
      <c r="O383" s="11"/>
      <c r="P383" s="11"/>
    </row>
    <row r="384" spans="1:16" x14ac:dyDescent="0.25">
      <c r="A384" s="696">
        <v>56212</v>
      </c>
      <c r="B384" s="696">
        <v>1772</v>
      </c>
      <c r="C384" s="696">
        <v>615</v>
      </c>
      <c r="D384" s="696">
        <v>1000</v>
      </c>
      <c r="F384" s="700" t="s">
        <v>1283</v>
      </c>
      <c r="G384" s="701">
        <v>3.52</v>
      </c>
      <c r="H384" s="12" t="s">
        <v>997</v>
      </c>
      <c r="I384" s="12" t="s">
        <v>937</v>
      </c>
      <c r="J384" s="12" t="s">
        <v>894</v>
      </c>
      <c r="K384" s="12" t="s">
        <v>895</v>
      </c>
      <c r="L384" s="12"/>
      <c r="M384" s="11"/>
      <c r="N384" s="11"/>
      <c r="O384" s="11"/>
      <c r="P384" s="11"/>
    </row>
    <row r="385" spans="1:16" x14ac:dyDescent="0.25">
      <c r="A385" s="696">
        <v>56212</v>
      </c>
      <c r="B385" s="696">
        <v>1774</v>
      </c>
      <c r="C385" s="696">
        <v>615</v>
      </c>
      <c r="D385" s="696">
        <v>1000</v>
      </c>
      <c r="F385" s="700" t="s">
        <v>1283</v>
      </c>
      <c r="G385" s="701">
        <v>2.0699999999999998</v>
      </c>
      <c r="H385" s="12" t="s">
        <v>997</v>
      </c>
      <c r="I385" s="12" t="s">
        <v>937</v>
      </c>
      <c r="J385" s="12" t="s">
        <v>894</v>
      </c>
      <c r="K385" s="12" t="s">
        <v>895</v>
      </c>
      <c r="L385" s="12"/>
      <c r="M385" s="11"/>
      <c r="N385" s="11"/>
      <c r="O385" s="11"/>
      <c r="P385" s="11"/>
    </row>
    <row r="386" spans="1:16" x14ac:dyDescent="0.25">
      <c r="A386" s="696">
        <v>56212</v>
      </c>
      <c r="B386" s="696">
        <v>1782</v>
      </c>
      <c r="C386" s="696">
        <v>615</v>
      </c>
      <c r="D386" s="696">
        <v>1000</v>
      </c>
      <c r="F386" s="700" t="s">
        <v>1283</v>
      </c>
      <c r="G386" s="701">
        <v>0.66</v>
      </c>
      <c r="H386" s="12" t="s">
        <v>997</v>
      </c>
      <c r="I386" s="12" t="s">
        <v>937</v>
      </c>
      <c r="J386" s="12" t="s">
        <v>894</v>
      </c>
      <c r="K386" s="12" t="s">
        <v>895</v>
      </c>
      <c r="L386" s="12"/>
      <c r="M386" s="11"/>
      <c r="N386" s="11"/>
      <c r="O386" s="11"/>
      <c r="P386" s="11"/>
    </row>
    <row r="387" spans="1:16" x14ac:dyDescent="0.25">
      <c r="A387" s="696">
        <v>56212</v>
      </c>
      <c r="B387" s="696">
        <v>1784</v>
      </c>
      <c r="C387" s="696">
        <v>615</v>
      </c>
      <c r="D387" s="696">
        <v>1000</v>
      </c>
      <c r="F387" s="700" t="s">
        <v>1283</v>
      </c>
      <c r="G387" s="701">
        <v>0.6</v>
      </c>
      <c r="H387" s="12" t="s">
        <v>997</v>
      </c>
      <c r="I387" s="12" t="s">
        <v>937</v>
      </c>
      <c r="J387" s="12" t="s">
        <v>894</v>
      </c>
      <c r="K387" s="12" t="s">
        <v>895</v>
      </c>
      <c r="L387" s="12"/>
      <c r="M387" s="11"/>
      <c r="N387" s="11"/>
      <c r="O387" s="11"/>
      <c r="P387" s="11"/>
    </row>
    <row r="388" spans="1:16" x14ac:dyDescent="0.25">
      <c r="A388" s="696">
        <v>56212</v>
      </c>
      <c r="B388" s="696">
        <v>1785</v>
      </c>
      <c r="C388" s="696">
        <v>615</v>
      </c>
      <c r="D388" s="696">
        <v>1000</v>
      </c>
      <c r="F388" s="700" t="s">
        <v>1283</v>
      </c>
      <c r="G388" s="701">
        <v>1.89</v>
      </c>
      <c r="H388" s="12" t="s">
        <v>997</v>
      </c>
      <c r="I388" s="12" t="s">
        <v>937</v>
      </c>
      <c r="J388" s="12" t="s">
        <v>894</v>
      </c>
      <c r="K388" s="12" t="s">
        <v>895</v>
      </c>
      <c r="L388" s="12"/>
      <c r="M388" s="11"/>
      <c r="N388" s="11"/>
      <c r="O388" s="11"/>
      <c r="P388" s="11"/>
    </row>
    <row r="389" spans="1:16" x14ac:dyDescent="0.25">
      <c r="A389" s="696">
        <v>56212</v>
      </c>
      <c r="B389" s="696">
        <v>1795</v>
      </c>
      <c r="C389" s="696">
        <v>615</v>
      </c>
      <c r="D389" s="696">
        <v>1000</v>
      </c>
      <c r="F389" s="700" t="s">
        <v>1283</v>
      </c>
      <c r="G389" s="701">
        <v>0.97</v>
      </c>
      <c r="H389" s="12" t="s">
        <v>997</v>
      </c>
      <c r="I389" s="12" t="s">
        <v>937</v>
      </c>
      <c r="J389" s="12" t="s">
        <v>894</v>
      </c>
      <c r="K389" s="12" t="s">
        <v>895</v>
      </c>
      <c r="L389" s="12"/>
      <c r="M389" s="11"/>
      <c r="N389" s="11"/>
      <c r="O389" s="11"/>
      <c r="P389" s="11"/>
    </row>
    <row r="390" spans="1:16" x14ac:dyDescent="0.25">
      <c r="A390" s="696">
        <v>56212</v>
      </c>
      <c r="B390" s="696">
        <v>1802</v>
      </c>
      <c r="C390" s="696">
        <v>615</v>
      </c>
      <c r="D390" s="696">
        <v>1000</v>
      </c>
      <c r="F390" s="700" t="s">
        <v>1283</v>
      </c>
      <c r="G390" s="701">
        <v>0.65</v>
      </c>
      <c r="H390" s="12" t="s">
        <v>997</v>
      </c>
      <c r="I390" s="12" t="s">
        <v>937</v>
      </c>
      <c r="J390" s="12" t="s">
        <v>894</v>
      </c>
      <c r="K390" s="12" t="s">
        <v>895</v>
      </c>
      <c r="L390" s="12"/>
      <c r="M390" s="11"/>
      <c r="N390" s="11"/>
      <c r="O390" s="11"/>
      <c r="P390" s="11"/>
    </row>
    <row r="391" spans="1:16" x14ac:dyDescent="0.25">
      <c r="A391" s="696">
        <v>56212</v>
      </c>
      <c r="B391" s="696">
        <v>1805</v>
      </c>
      <c r="C391" s="696">
        <v>615</v>
      </c>
      <c r="D391" s="696">
        <v>1000</v>
      </c>
      <c r="F391" s="700" t="s">
        <v>1283</v>
      </c>
      <c r="G391" s="701">
        <v>1.01</v>
      </c>
      <c r="H391" s="12" t="s">
        <v>997</v>
      </c>
      <c r="I391" s="12" t="s">
        <v>937</v>
      </c>
      <c r="J391" s="12" t="s">
        <v>894</v>
      </c>
      <c r="K391" s="12" t="s">
        <v>895</v>
      </c>
      <c r="L391" s="12"/>
      <c r="M391" s="11"/>
      <c r="N391" s="11"/>
      <c r="O391" s="11"/>
      <c r="P391" s="11"/>
    </row>
    <row r="392" spans="1:16" x14ac:dyDescent="0.25">
      <c r="A392" s="696">
        <v>56212</v>
      </c>
      <c r="B392" s="696">
        <v>1808</v>
      </c>
      <c r="C392" s="696">
        <v>615</v>
      </c>
      <c r="D392" s="696">
        <v>1000</v>
      </c>
      <c r="F392" s="700" t="s">
        <v>1283</v>
      </c>
      <c r="G392" s="701">
        <v>0.96</v>
      </c>
      <c r="H392" s="12" t="s">
        <v>997</v>
      </c>
      <c r="I392" s="12" t="s">
        <v>937</v>
      </c>
      <c r="J392" s="12" t="s">
        <v>894</v>
      </c>
      <c r="K392" s="12" t="s">
        <v>895</v>
      </c>
      <c r="L392" s="12"/>
      <c r="M392" s="11"/>
      <c r="N392" s="11"/>
      <c r="O392" s="11"/>
      <c r="P392" s="11"/>
    </row>
    <row r="393" spans="1:16" x14ac:dyDescent="0.25">
      <c r="A393" s="696">
        <v>56212</v>
      </c>
      <c r="B393" s="696">
        <v>1810</v>
      </c>
      <c r="C393" s="696">
        <v>615</v>
      </c>
      <c r="D393" s="696">
        <v>1000</v>
      </c>
      <c r="F393" s="700" t="s">
        <v>1283</v>
      </c>
      <c r="G393" s="701">
        <v>3.94</v>
      </c>
      <c r="H393" s="12" t="s">
        <v>997</v>
      </c>
      <c r="I393" s="12" t="s">
        <v>937</v>
      </c>
      <c r="J393" s="12" t="s">
        <v>894</v>
      </c>
      <c r="K393" s="12" t="s">
        <v>895</v>
      </c>
      <c r="L393" s="12"/>
      <c r="M393" s="11"/>
      <c r="N393" s="11"/>
      <c r="O393" s="11"/>
      <c r="P393" s="11"/>
    </row>
    <row r="394" spans="1:16" x14ac:dyDescent="0.25">
      <c r="A394" s="696">
        <v>56212</v>
      </c>
      <c r="B394" s="696">
        <v>1812</v>
      </c>
      <c r="C394" s="696">
        <v>615</v>
      </c>
      <c r="D394" s="696">
        <v>1000</v>
      </c>
      <c r="F394" s="700" t="s">
        <v>1283</v>
      </c>
      <c r="G394" s="701">
        <v>2.64</v>
      </c>
      <c r="H394" s="12" t="s">
        <v>997</v>
      </c>
      <c r="I394" s="12" t="s">
        <v>937</v>
      </c>
      <c r="J394" s="12" t="s">
        <v>894</v>
      </c>
      <c r="K394" s="12" t="s">
        <v>895</v>
      </c>
      <c r="L394" s="12"/>
      <c r="M394" s="11"/>
      <c r="N394" s="11"/>
      <c r="O394" s="11"/>
      <c r="P394" s="11"/>
    </row>
    <row r="395" spans="1:16" x14ac:dyDescent="0.25">
      <c r="A395" s="696">
        <v>56212</v>
      </c>
      <c r="B395" s="696">
        <v>1817</v>
      </c>
      <c r="C395" s="696">
        <v>615</v>
      </c>
      <c r="D395" s="696">
        <v>1000</v>
      </c>
      <c r="F395" s="700" t="s">
        <v>1283</v>
      </c>
      <c r="G395" s="701">
        <v>0.65</v>
      </c>
      <c r="H395" s="12" t="s">
        <v>997</v>
      </c>
      <c r="I395" s="12" t="s">
        <v>937</v>
      </c>
      <c r="J395" s="12" t="s">
        <v>894</v>
      </c>
      <c r="K395" s="12" t="s">
        <v>895</v>
      </c>
      <c r="L395" s="12"/>
      <c r="M395" s="11"/>
      <c r="N395" s="11"/>
      <c r="O395" s="11"/>
      <c r="P395" s="11"/>
    </row>
    <row r="396" spans="1:16" x14ac:dyDescent="0.25">
      <c r="A396" s="696">
        <v>56212</v>
      </c>
      <c r="B396" s="696">
        <v>1823</v>
      </c>
      <c r="C396" s="696">
        <v>615</v>
      </c>
      <c r="D396" s="696">
        <v>1000</v>
      </c>
      <c r="F396" s="700" t="s">
        <v>1283</v>
      </c>
      <c r="G396" s="701">
        <v>0.96</v>
      </c>
      <c r="H396" s="12" t="s">
        <v>997</v>
      </c>
      <c r="I396" s="12" t="s">
        <v>937</v>
      </c>
      <c r="J396" s="12" t="s">
        <v>894</v>
      </c>
      <c r="K396" s="12" t="s">
        <v>895</v>
      </c>
      <c r="L396" s="12"/>
      <c r="M396" s="11"/>
      <c r="N396" s="11"/>
      <c r="O396" s="11"/>
      <c r="P396" s="11"/>
    </row>
    <row r="397" spans="1:16" x14ac:dyDescent="0.25">
      <c r="A397" s="696">
        <v>56212</v>
      </c>
      <c r="B397" s="696">
        <v>1833</v>
      </c>
      <c r="C397" s="696">
        <v>615</v>
      </c>
      <c r="D397" s="696">
        <v>1000</v>
      </c>
      <c r="F397" s="700" t="s">
        <v>1283</v>
      </c>
      <c r="G397" s="701">
        <v>2.42</v>
      </c>
      <c r="H397" s="12" t="s">
        <v>997</v>
      </c>
      <c r="I397" s="12" t="s">
        <v>937</v>
      </c>
      <c r="J397" s="12" t="s">
        <v>894</v>
      </c>
      <c r="K397" s="12" t="s">
        <v>895</v>
      </c>
      <c r="L397" s="12"/>
      <c r="M397" s="11"/>
      <c r="N397" s="11"/>
      <c r="O397" s="11"/>
      <c r="P397" s="11"/>
    </row>
    <row r="398" spans="1:16" x14ac:dyDescent="0.25">
      <c r="A398" s="696">
        <v>56212</v>
      </c>
      <c r="B398" s="696">
        <v>1834</v>
      </c>
      <c r="C398" s="696">
        <v>615</v>
      </c>
      <c r="D398" s="696">
        <v>1000</v>
      </c>
      <c r="F398" s="700" t="s">
        <v>1283</v>
      </c>
      <c r="G398" s="701">
        <v>0.5</v>
      </c>
      <c r="H398" s="12" t="s">
        <v>997</v>
      </c>
      <c r="I398" s="12" t="s">
        <v>937</v>
      </c>
      <c r="J398" s="12" t="s">
        <v>894</v>
      </c>
      <c r="K398" s="12" t="s">
        <v>895</v>
      </c>
      <c r="L398" s="12"/>
      <c r="M398" s="11"/>
      <c r="N398" s="11"/>
      <c r="O398" s="11"/>
      <c r="P398" s="11"/>
    </row>
    <row r="399" spans="1:16" x14ac:dyDescent="0.25">
      <c r="A399" s="696">
        <v>56212</v>
      </c>
      <c r="B399" s="696">
        <v>1836</v>
      </c>
      <c r="C399" s="696">
        <v>615</v>
      </c>
      <c r="D399" s="696">
        <v>1000</v>
      </c>
      <c r="F399" s="700" t="s">
        <v>1283</v>
      </c>
      <c r="G399" s="701">
        <v>1.1100000000000001</v>
      </c>
      <c r="H399" s="12" t="s">
        <v>997</v>
      </c>
      <c r="I399" s="12" t="s">
        <v>937</v>
      </c>
      <c r="J399" s="12" t="s">
        <v>894</v>
      </c>
      <c r="K399" s="12" t="s">
        <v>895</v>
      </c>
      <c r="L399" s="12"/>
      <c r="M399" s="11"/>
      <c r="N399" s="11"/>
      <c r="O399" s="11"/>
      <c r="P399" s="11"/>
    </row>
    <row r="400" spans="1:16" x14ac:dyDescent="0.25">
      <c r="A400" s="696">
        <v>56212</v>
      </c>
      <c r="B400" s="696">
        <v>1844</v>
      </c>
      <c r="C400" s="696">
        <v>615</v>
      </c>
      <c r="D400" s="696">
        <v>1000</v>
      </c>
      <c r="F400" s="700" t="s">
        <v>1283</v>
      </c>
      <c r="G400" s="701">
        <v>0.95</v>
      </c>
      <c r="H400" s="12" t="s">
        <v>997</v>
      </c>
      <c r="I400" s="12" t="s">
        <v>937</v>
      </c>
      <c r="J400" s="12" t="s">
        <v>894</v>
      </c>
      <c r="K400" s="12" t="s">
        <v>895</v>
      </c>
      <c r="L400" s="12"/>
      <c r="M400" s="11"/>
      <c r="N400" s="11"/>
      <c r="O400" s="11"/>
      <c r="P400" s="11"/>
    </row>
    <row r="401" spans="1:16" x14ac:dyDescent="0.25">
      <c r="A401" s="696">
        <v>56212</v>
      </c>
      <c r="B401" s="696">
        <v>1853</v>
      </c>
      <c r="C401" s="696">
        <v>615</v>
      </c>
      <c r="D401" s="696">
        <v>1000</v>
      </c>
      <c r="F401" s="700" t="s">
        <v>1283</v>
      </c>
      <c r="G401" s="701">
        <v>1.88</v>
      </c>
      <c r="H401" s="12" t="s">
        <v>997</v>
      </c>
      <c r="I401" s="12" t="s">
        <v>937</v>
      </c>
      <c r="J401" s="12" t="s">
        <v>894</v>
      </c>
      <c r="K401" s="12" t="s">
        <v>895</v>
      </c>
      <c r="L401" s="12"/>
      <c r="M401" s="11"/>
      <c r="N401" s="11"/>
      <c r="O401" s="11"/>
      <c r="P401" s="11"/>
    </row>
    <row r="402" spans="1:16" x14ac:dyDescent="0.25">
      <c r="A402" s="696">
        <v>56212</v>
      </c>
      <c r="B402" s="696">
        <v>1859</v>
      </c>
      <c r="C402" s="696">
        <v>615</v>
      </c>
      <c r="D402" s="696">
        <v>1000</v>
      </c>
      <c r="F402" s="700" t="s">
        <v>1283</v>
      </c>
      <c r="G402" s="701">
        <v>1.02</v>
      </c>
      <c r="H402" s="12" t="s">
        <v>997</v>
      </c>
      <c r="I402" s="12" t="s">
        <v>937</v>
      </c>
      <c r="J402" s="12" t="s">
        <v>894</v>
      </c>
      <c r="K402" s="12" t="s">
        <v>895</v>
      </c>
      <c r="L402" s="12"/>
      <c r="M402" s="11"/>
      <c r="N402" s="11"/>
      <c r="O402" s="11"/>
      <c r="P402" s="11"/>
    </row>
    <row r="403" spans="1:16" x14ac:dyDescent="0.25">
      <c r="A403" s="696">
        <v>56212</v>
      </c>
      <c r="B403" s="696">
        <v>1867</v>
      </c>
      <c r="C403" s="696">
        <v>615</v>
      </c>
      <c r="D403" s="696">
        <v>1000</v>
      </c>
      <c r="F403" s="700" t="s">
        <v>1283</v>
      </c>
      <c r="G403" s="701">
        <v>1.5</v>
      </c>
      <c r="H403" s="12" t="s">
        <v>997</v>
      </c>
      <c r="I403" s="12" t="s">
        <v>937</v>
      </c>
      <c r="J403" s="12" t="s">
        <v>894</v>
      </c>
      <c r="K403" s="12" t="s">
        <v>895</v>
      </c>
      <c r="L403" s="12"/>
      <c r="M403" s="11"/>
      <c r="N403" s="11"/>
      <c r="O403" s="11"/>
      <c r="P403" s="11"/>
    </row>
    <row r="404" spans="1:16" x14ac:dyDescent="0.25">
      <c r="A404" s="696">
        <v>56213</v>
      </c>
      <c r="B404" s="696">
        <v>1000</v>
      </c>
      <c r="C404" s="696">
        <v>100</v>
      </c>
      <c r="D404" s="696">
        <v>1000</v>
      </c>
      <c r="F404" s="700" t="s">
        <v>1284</v>
      </c>
      <c r="G404" s="701">
        <v>3873.25</v>
      </c>
      <c r="H404" s="12" t="s">
        <v>889</v>
      </c>
      <c r="I404" s="12" t="s">
        <v>893</v>
      </c>
      <c r="J404" s="12" t="s">
        <v>894</v>
      </c>
      <c r="K404" s="12" t="s">
        <v>895</v>
      </c>
      <c r="L404" s="12"/>
      <c r="M404" s="11"/>
      <c r="N404" s="11"/>
      <c r="O404" s="11"/>
      <c r="P404" s="11"/>
    </row>
    <row r="405" spans="1:16" x14ac:dyDescent="0.25">
      <c r="A405" s="696">
        <v>56213</v>
      </c>
      <c r="B405" s="696">
        <v>1000</v>
      </c>
      <c r="C405" s="696">
        <v>100</v>
      </c>
      <c r="D405" s="696">
        <v>2100</v>
      </c>
      <c r="F405" s="700" t="s">
        <v>1284</v>
      </c>
      <c r="G405" s="701">
        <v>1535.61</v>
      </c>
      <c r="H405" s="12" t="s">
        <v>889</v>
      </c>
      <c r="I405" s="12" t="s">
        <v>893</v>
      </c>
      <c r="J405" s="12" t="s">
        <v>902</v>
      </c>
      <c r="K405" s="12" t="s">
        <v>895</v>
      </c>
      <c r="L405" s="12"/>
      <c r="M405" s="11"/>
      <c r="N405" s="11"/>
      <c r="O405" s="11"/>
      <c r="P405" s="11"/>
    </row>
    <row r="406" spans="1:16" x14ac:dyDescent="0.25">
      <c r="A406" s="696">
        <v>56213</v>
      </c>
      <c r="B406" s="696">
        <v>1000</v>
      </c>
      <c r="C406" s="696">
        <v>100</v>
      </c>
      <c r="D406" s="696">
        <v>2110</v>
      </c>
      <c r="F406" s="700" t="s">
        <v>1284</v>
      </c>
      <c r="G406" s="701">
        <v>35.729999999999997</v>
      </c>
      <c r="H406" s="12" t="s">
        <v>889</v>
      </c>
      <c r="I406" s="12" t="s">
        <v>893</v>
      </c>
      <c r="J406" s="12" t="s">
        <v>902</v>
      </c>
      <c r="K406" s="12" t="s">
        <v>895</v>
      </c>
      <c r="L406" s="12"/>
      <c r="M406" s="11"/>
      <c r="N406" s="11"/>
      <c r="O406" s="11"/>
      <c r="P406" s="11"/>
    </row>
    <row r="407" spans="1:16" x14ac:dyDescent="0.25">
      <c r="A407" s="696">
        <v>56213</v>
      </c>
      <c r="B407" s="696">
        <v>1000</v>
      </c>
      <c r="C407" s="696">
        <v>100</v>
      </c>
      <c r="D407" s="696">
        <v>2200</v>
      </c>
      <c r="F407" s="700" t="s">
        <v>1284</v>
      </c>
      <c r="G407" s="701">
        <v>294.64999999999998</v>
      </c>
      <c r="H407" s="12" t="s">
        <v>889</v>
      </c>
      <c r="I407" s="12" t="s">
        <v>893</v>
      </c>
      <c r="J407" s="12" t="s">
        <v>906</v>
      </c>
      <c r="K407" s="12" t="s">
        <v>895</v>
      </c>
      <c r="L407" s="12"/>
      <c r="M407" s="11"/>
      <c r="N407" s="11"/>
      <c r="O407" s="11"/>
      <c r="P407" s="11"/>
    </row>
    <row r="408" spans="1:16" x14ac:dyDescent="0.25">
      <c r="A408" s="696">
        <v>56213</v>
      </c>
      <c r="B408" s="696">
        <v>1000</v>
      </c>
      <c r="C408" s="696">
        <v>100</v>
      </c>
      <c r="D408" s="696">
        <v>2300</v>
      </c>
      <c r="F408" s="700" t="s">
        <v>1284</v>
      </c>
      <c r="G408" s="701">
        <v>52.65</v>
      </c>
      <c r="H408" s="12" t="s">
        <v>889</v>
      </c>
      <c r="I408" s="12" t="s">
        <v>893</v>
      </c>
      <c r="J408" s="12" t="s">
        <v>918</v>
      </c>
      <c r="K408" s="12" t="s">
        <v>895</v>
      </c>
      <c r="L408" s="12"/>
      <c r="M408" s="11"/>
      <c r="N408" s="11"/>
      <c r="O408" s="11"/>
      <c r="P408" s="11"/>
    </row>
    <row r="409" spans="1:16" x14ac:dyDescent="0.25">
      <c r="A409" s="696">
        <v>56213</v>
      </c>
      <c r="B409" s="696">
        <v>1000</v>
      </c>
      <c r="C409" s="696">
        <v>100</v>
      </c>
      <c r="D409" s="696">
        <v>2310</v>
      </c>
      <c r="F409" s="700" t="s">
        <v>1284</v>
      </c>
      <c r="G409" s="701">
        <v>17.87</v>
      </c>
      <c r="H409" s="12" t="s">
        <v>889</v>
      </c>
      <c r="I409" s="12" t="s">
        <v>893</v>
      </c>
      <c r="J409" s="12" t="s">
        <v>918</v>
      </c>
      <c r="K409" s="12" t="s">
        <v>895</v>
      </c>
      <c r="L409" s="12"/>
      <c r="M409" s="11"/>
      <c r="N409" s="11"/>
      <c r="O409" s="11"/>
      <c r="P409" s="11"/>
    </row>
    <row r="410" spans="1:16" x14ac:dyDescent="0.25">
      <c r="A410" s="696">
        <v>56213</v>
      </c>
      <c r="B410" s="696">
        <v>1000</v>
      </c>
      <c r="C410" s="696">
        <v>100</v>
      </c>
      <c r="D410" s="696">
        <v>2400</v>
      </c>
      <c r="F410" s="700" t="s">
        <v>1284</v>
      </c>
      <c r="G410" s="701">
        <v>183.21</v>
      </c>
      <c r="H410" s="12" t="s">
        <v>889</v>
      </c>
      <c r="I410" s="12" t="s">
        <v>893</v>
      </c>
      <c r="J410" s="12" t="s">
        <v>922</v>
      </c>
      <c r="K410" s="12" t="s">
        <v>895</v>
      </c>
      <c r="L410" s="12"/>
      <c r="M410" s="11"/>
      <c r="N410" s="11"/>
      <c r="O410" s="11"/>
      <c r="P410" s="11"/>
    </row>
    <row r="411" spans="1:16" x14ac:dyDescent="0.25">
      <c r="A411" s="696">
        <v>56213</v>
      </c>
      <c r="B411" s="696">
        <v>1000</v>
      </c>
      <c r="C411" s="696">
        <v>100</v>
      </c>
      <c r="D411" s="696">
        <v>2410</v>
      </c>
      <c r="F411" s="700" t="s">
        <v>1284</v>
      </c>
      <c r="G411" s="701">
        <v>31.98</v>
      </c>
      <c r="H411" s="12" t="s">
        <v>889</v>
      </c>
      <c r="I411" s="12" t="s">
        <v>893</v>
      </c>
      <c r="J411" s="12" t="s">
        <v>922</v>
      </c>
      <c r="K411" s="12" t="s">
        <v>895</v>
      </c>
      <c r="L411" s="12"/>
      <c r="M411" s="11"/>
      <c r="N411" s="11"/>
      <c r="O411" s="11"/>
      <c r="P411" s="11"/>
    </row>
    <row r="412" spans="1:16" x14ac:dyDescent="0.25">
      <c r="A412" s="696">
        <v>56213</v>
      </c>
      <c r="B412" s="696">
        <v>1000</v>
      </c>
      <c r="C412" s="696">
        <v>100</v>
      </c>
      <c r="D412" s="696">
        <v>2500</v>
      </c>
      <c r="F412" s="700" t="s">
        <v>1284</v>
      </c>
      <c r="G412" s="701">
        <v>2360.42</v>
      </c>
      <c r="H412" s="12" t="s">
        <v>889</v>
      </c>
      <c r="I412" s="12" t="s">
        <v>893</v>
      </c>
      <c r="J412" s="12" t="s">
        <v>926</v>
      </c>
      <c r="K412" s="12" t="s">
        <v>895</v>
      </c>
      <c r="L412" s="12"/>
      <c r="M412" s="11"/>
      <c r="N412" s="11"/>
      <c r="O412" s="11"/>
      <c r="P412" s="11"/>
    </row>
    <row r="413" spans="1:16" x14ac:dyDescent="0.25">
      <c r="A413" s="696">
        <v>56213</v>
      </c>
      <c r="B413" s="696">
        <v>1000</v>
      </c>
      <c r="C413" s="696">
        <v>100</v>
      </c>
      <c r="D413" s="696">
        <v>2510</v>
      </c>
      <c r="F413" s="700" t="s">
        <v>1284</v>
      </c>
      <c r="G413" s="701">
        <v>18.48</v>
      </c>
      <c r="H413" s="12" t="s">
        <v>889</v>
      </c>
      <c r="I413" s="12" t="s">
        <v>893</v>
      </c>
      <c r="J413" s="12" t="s">
        <v>926</v>
      </c>
      <c r="K413" s="12" t="s">
        <v>895</v>
      </c>
      <c r="L413" s="12"/>
      <c r="M413" s="11"/>
      <c r="N413" s="11"/>
      <c r="O413" s="11"/>
      <c r="P413" s="11"/>
    </row>
    <row r="414" spans="1:16" x14ac:dyDescent="0.25">
      <c r="A414" s="696">
        <v>56213</v>
      </c>
      <c r="B414" s="696">
        <v>1000</v>
      </c>
      <c r="C414" s="696">
        <v>100</v>
      </c>
      <c r="D414" s="696">
        <v>2600</v>
      </c>
      <c r="F414" s="700" t="s">
        <v>1284</v>
      </c>
      <c r="G414" s="701">
        <v>53.6</v>
      </c>
      <c r="H414" s="12" t="s">
        <v>889</v>
      </c>
      <c r="I414" s="12" t="s">
        <v>893</v>
      </c>
      <c r="J414" s="12" t="s">
        <v>930</v>
      </c>
      <c r="K414" s="12" t="s">
        <v>895</v>
      </c>
      <c r="L414" s="12"/>
      <c r="M414" s="11"/>
      <c r="N414" s="11"/>
      <c r="O414" s="11"/>
      <c r="P414" s="11"/>
    </row>
    <row r="415" spans="1:16" x14ac:dyDescent="0.25">
      <c r="A415" s="696">
        <v>56213</v>
      </c>
      <c r="B415" s="696">
        <v>1000</v>
      </c>
      <c r="C415" s="696">
        <v>100</v>
      </c>
      <c r="D415" s="696">
        <v>2700</v>
      </c>
      <c r="F415" s="700" t="s">
        <v>1284</v>
      </c>
      <c r="G415" s="701">
        <v>0.08</v>
      </c>
      <c r="H415" s="12" t="s">
        <v>889</v>
      </c>
      <c r="I415" s="12" t="s">
        <v>913</v>
      </c>
      <c r="J415" s="12" t="s">
        <v>934</v>
      </c>
      <c r="K415" s="12" t="s">
        <v>895</v>
      </c>
      <c r="L415" s="12"/>
      <c r="M415" s="11"/>
      <c r="N415" s="11"/>
      <c r="O415" s="11"/>
      <c r="P415" s="11"/>
    </row>
    <row r="416" spans="1:16" x14ac:dyDescent="0.25">
      <c r="A416" s="696">
        <v>56213</v>
      </c>
      <c r="B416" s="696">
        <v>1000</v>
      </c>
      <c r="C416" s="696">
        <v>100</v>
      </c>
      <c r="D416" s="696">
        <v>3100</v>
      </c>
      <c r="F416" s="700" t="s">
        <v>1284</v>
      </c>
      <c r="G416" s="701">
        <v>17.87</v>
      </c>
      <c r="H416" s="12" t="s">
        <v>889</v>
      </c>
      <c r="I416" s="12" t="s">
        <v>893</v>
      </c>
      <c r="J416" s="12" t="s">
        <v>942</v>
      </c>
      <c r="K416" s="12" t="s">
        <v>895</v>
      </c>
      <c r="L416" s="12"/>
      <c r="M416" s="11"/>
      <c r="N416" s="11"/>
      <c r="O416" s="11"/>
      <c r="P416" s="11"/>
    </row>
    <row r="417" spans="1:16" x14ac:dyDescent="0.25">
      <c r="A417" s="696">
        <v>56213</v>
      </c>
      <c r="B417" s="696">
        <v>1000</v>
      </c>
      <c r="C417" s="696">
        <v>200</v>
      </c>
      <c r="D417" s="696">
        <v>1000</v>
      </c>
      <c r="F417" s="700" t="s">
        <v>1284</v>
      </c>
      <c r="G417" s="701">
        <v>227.68</v>
      </c>
      <c r="H417" s="12" t="s">
        <v>889</v>
      </c>
      <c r="I417" s="12" t="s">
        <v>897</v>
      </c>
      <c r="J417" s="12" t="s">
        <v>894</v>
      </c>
      <c r="K417" s="12" t="s">
        <v>895</v>
      </c>
      <c r="L417" s="12"/>
      <c r="M417" s="11"/>
      <c r="N417" s="11"/>
      <c r="O417" s="11"/>
      <c r="P417" s="11"/>
    </row>
    <row r="418" spans="1:16" x14ac:dyDescent="0.25">
      <c r="A418" s="696">
        <v>56213</v>
      </c>
      <c r="B418" s="696">
        <v>1000</v>
      </c>
      <c r="C418" s="696">
        <v>200</v>
      </c>
      <c r="D418" s="696">
        <v>2100</v>
      </c>
      <c r="F418" s="700" t="s">
        <v>1284</v>
      </c>
      <c r="G418" s="701">
        <v>8.84</v>
      </c>
      <c r="H418" s="12" t="s">
        <v>889</v>
      </c>
      <c r="I418" s="12" t="s">
        <v>897</v>
      </c>
      <c r="J418" s="12" t="s">
        <v>902</v>
      </c>
      <c r="K418" s="12" t="s">
        <v>895</v>
      </c>
      <c r="L418" s="12"/>
      <c r="M418" s="11"/>
      <c r="N418" s="11"/>
      <c r="O418" s="11"/>
      <c r="P418" s="11"/>
    </row>
    <row r="419" spans="1:16" x14ac:dyDescent="0.25">
      <c r="A419" s="696">
        <v>56213</v>
      </c>
      <c r="B419" s="696">
        <v>1000</v>
      </c>
      <c r="C419" s="696">
        <v>200</v>
      </c>
      <c r="D419" s="696">
        <v>2200</v>
      </c>
      <c r="F419" s="700" t="s">
        <v>1284</v>
      </c>
      <c r="G419" s="701">
        <v>62.78</v>
      </c>
      <c r="H419" s="12" t="s">
        <v>889</v>
      </c>
      <c r="I419" s="12" t="s">
        <v>897</v>
      </c>
      <c r="J419" s="12" t="s">
        <v>906</v>
      </c>
      <c r="K419" s="12" t="s">
        <v>895</v>
      </c>
      <c r="L419" s="12"/>
      <c r="M419" s="11"/>
      <c r="N419" s="11"/>
      <c r="O419" s="11"/>
      <c r="P419" s="11"/>
    </row>
    <row r="420" spans="1:16" x14ac:dyDescent="0.25">
      <c r="A420" s="696">
        <v>56213</v>
      </c>
      <c r="B420" s="696">
        <v>1000</v>
      </c>
      <c r="C420" s="696">
        <v>200</v>
      </c>
      <c r="D420" s="696">
        <v>2500</v>
      </c>
      <c r="F420" s="700" t="s">
        <v>1284</v>
      </c>
      <c r="G420" s="701">
        <v>0</v>
      </c>
      <c r="H420" s="12" t="s">
        <v>889</v>
      </c>
      <c r="I420" s="12" t="s">
        <v>897</v>
      </c>
      <c r="J420" s="12" t="s">
        <v>926</v>
      </c>
      <c r="K420" s="12" t="s">
        <v>895</v>
      </c>
      <c r="L420" s="12"/>
      <c r="M420" s="11"/>
      <c r="N420" s="11"/>
      <c r="O420" s="11"/>
      <c r="P420" s="11"/>
    </row>
    <row r="421" spans="1:16" x14ac:dyDescent="0.25">
      <c r="A421" s="696">
        <v>56213</v>
      </c>
      <c r="B421" s="696">
        <v>1000</v>
      </c>
      <c r="C421" s="696">
        <v>240</v>
      </c>
      <c r="D421" s="696">
        <v>1000</v>
      </c>
      <c r="F421" s="700" t="s">
        <v>1284</v>
      </c>
      <c r="G421" s="701">
        <v>14.16</v>
      </c>
      <c r="H421" s="12" t="s">
        <v>889</v>
      </c>
      <c r="I421" s="12" t="s">
        <v>897</v>
      </c>
      <c r="J421" s="12" t="s">
        <v>894</v>
      </c>
      <c r="K421" s="12" t="s">
        <v>895</v>
      </c>
      <c r="L421" s="12"/>
      <c r="M421" s="11"/>
      <c r="N421" s="11"/>
      <c r="O421" s="11"/>
      <c r="P421" s="11"/>
    </row>
    <row r="422" spans="1:16" x14ac:dyDescent="0.25">
      <c r="A422" s="696">
        <v>56213</v>
      </c>
      <c r="B422" s="696">
        <v>1000</v>
      </c>
      <c r="C422" s="696">
        <v>260</v>
      </c>
      <c r="D422" s="696">
        <v>1000</v>
      </c>
      <c r="F422" s="700" t="s">
        <v>1284</v>
      </c>
      <c r="G422" s="701">
        <v>34.33</v>
      </c>
      <c r="H422" s="12" t="s">
        <v>896</v>
      </c>
      <c r="I422" s="12" t="s">
        <v>901</v>
      </c>
      <c r="J422" s="12" t="s">
        <v>894</v>
      </c>
      <c r="K422" s="12" t="s">
        <v>895</v>
      </c>
      <c r="L422" s="12"/>
      <c r="M422" s="11"/>
      <c r="N422" s="11"/>
      <c r="O422" s="11"/>
      <c r="P422" s="11"/>
    </row>
    <row r="423" spans="1:16" x14ac:dyDescent="0.25">
      <c r="A423" s="696">
        <v>56213</v>
      </c>
      <c r="B423" s="696">
        <v>1000</v>
      </c>
      <c r="C423" s="696">
        <v>400</v>
      </c>
      <c r="D423" s="696">
        <v>2700</v>
      </c>
      <c r="F423" s="700" t="s">
        <v>1284</v>
      </c>
      <c r="G423" s="701">
        <v>14.56</v>
      </c>
      <c r="H423" s="12" t="s">
        <v>889</v>
      </c>
      <c r="I423" s="12" t="s">
        <v>913</v>
      </c>
      <c r="J423" s="12" t="s">
        <v>934</v>
      </c>
      <c r="K423" s="12" t="s">
        <v>895</v>
      </c>
      <c r="L423" s="12"/>
      <c r="M423" s="11"/>
      <c r="N423" s="11"/>
      <c r="O423" s="11"/>
      <c r="P423" s="11"/>
    </row>
    <row r="424" spans="1:16" x14ac:dyDescent="0.25">
      <c r="A424" s="696">
        <v>56213</v>
      </c>
      <c r="B424" s="696">
        <v>1000</v>
      </c>
      <c r="C424" s="696">
        <v>615</v>
      </c>
      <c r="D424" s="696">
        <v>1000</v>
      </c>
      <c r="F424" s="700" t="s">
        <v>1284</v>
      </c>
      <c r="G424" s="701">
        <v>0.97</v>
      </c>
      <c r="H424" s="12" t="s">
        <v>889</v>
      </c>
      <c r="I424" s="12" t="s">
        <v>937</v>
      </c>
      <c r="J424" s="12" t="s">
        <v>894</v>
      </c>
      <c r="K424" s="12" t="s">
        <v>895</v>
      </c>
      <c r="L424" s="12"/>
      <c r="M424" s="11"/>
      <c r="N424" s="11"/>
      <c r="O424" s="11"/>
      <c r="P424" s="11"/>
    </row>
    <row r="425" spans="1:16" x14ac:dyDescent="0.25">
      <c r="A425" s="696">
        <v>56213</v>
      </c>
      <c r="B425" s="696">
        <v>1220</v>
      </c>
      <c r="C425" s="696">
        <v>200</v>
      </c>
      <c r="D425" s="696">
        <v>1000</v>
      </c>
      <c r="F425" s="700" t="s">
        <v>1284</v>
      </c>
      <c r="G425" s="701">
        <v>33.04</v>
      </c>
      <c r="H425" s="12" t="s">
        <v>932</v>
      </c>
      <c r="I425" s="12" t="s">
        <v>897</v>
      </c>
      <c r="J425" s="12" t="s">
        <v>894</v>
      </c>
      <c r="K425" s="12" t="s">
        <v>895</v>
      </c>
      <c r="L425" s="12"/>
      <c r="M425" s="11"/>
      <c r="N425" s="11"/>
      <c r="O425" s="11"/>
      <c r="P425" s="11"/>
    </row>
    <row r="426" spans="1:16" x14ac:dyDescent="0.25">
      <c r="A426" s="696">
        <v>56213</v>
      </c>
      <c r="B426" s="696">
        <v>1220</v>
      </c>
      <c r="C426" s="696">
        <v>200</v>
      </c>
      <c r="D426" s="696">
        <v>2100</v>
      </c>
      <c r="F426" s="700" t="s">
        <v>1284</v>
      </c>
      <c r="G426" s="701">
        <v>133.97</v>
      </c>
      <c r="H426" s="12" t="s">
        <v>932</v>
      </c>
      <c r="I426" s="12" t="s">
        <v>897</v>
      </c>
      <c r="J426" s="12" t="s">
        <v>902</v>
      </c>
      <c r="K426" s="12" t="s">
        <v>895</v>
      </c>
      <c r="L426" s="12"/>
      <c r="M426" s="11"/>
      <c r="N426" s="11"/>
      <c r="O426" s="11"/>
      <c r="P426" s="11"/>
    </row>
    <row r="427" spans="1:16" x14ac:dyDescent="0.25">
      <c r="A427" s="696">
        <v>56231</v>
      </c>
      <c r="B427" s="696">
        <v>1322</v>
      </c>
      <c r="C427" s="696">
        <v>100</v>
      </c>
      <c r="D427" s="696">
        <v>1000</v>
      </c>
      <c r="F427" s="700" t="s">
        <v>1288</v>
      </c>
      <c r="G427" s="701">
        <v>195834.55</v>
      </c>
      <c r="H427" s="12" t="s">
        <v>968</v>
      </c>
      <c r="I427" s="12" t="s">
        <v>893</v>
      </c>
      <c r="J427" s="12" t="s">
        <v>894</v>
      </c>
      <c r="K427" s="12" t="s">
        <v>895</v>
      </c>
      <c r="L427" s="12"/>
      <c r="M427" s="11"/>
      <c r="N427" s="11"/>
      <c r="O427" s="11"/>
      <c r="P427" s="11"/>
    </row>
    <row r="428" spans="1:16" x14ac:dyDescent="0.25">
      <c r="A428" s="696">
        <v>56232</v>
      </c>
      <c r="B428" s="696">
        <v>1322</v>
      </c>
      <c r="C428" s="696">
        <v>100</v>
      </c>
      <c r="D428" s="696">
        <v>1000</v>
      </c>
      <c r="F428" s="700" t="s">
        <v>1289</v>
      </c>
      <c r="G428" s="701">
        <v>2362.77</v>
      </c>
      <c r="H428" s="12" t="s">
        <v>968</v>
      </c>
      <c r="I428" s="12" t="s">
        <v>893</v>
      </c>
      <c r="J428" s="12" t="s">
        <v>894</v>
      </c>
      <c r="K428" s="12" t="s">
        <v>895</v>
      </c>
      <c r="L428" s="12"/>
      <c r="M428" s="11"/>
      <c r="N428" s="11"/>
      <c r="O428" s="11"/>
      <c r="P428" s="11"/>
    </row>
    <row r="429" spans="1:16" x14ac:dyDescent="0.25">
      <c r="A429" s="696">
        <v>56250</v>
      </c>
      <c r="B429" s="696">
        <v>1322</v>
      </c>
      <c r="C429" s="696">
        <v>100</v>
      </c>
      <c r="D429" s="696">
        <v>1000</v>
      </c>
      <c r="F429" s="700" t="s">
        <v>1290</v>
      </c>
      <c r="G429" s="701">
        <v>2243.84</v>
      </c>
      <c r="H429" s="12" t="s">
        <v>968</v>
      </c>
      <c r="I429" s="12" t="s">
        <v>893</v>
      </c>
      <c r="J429" s="12" t="s">
        <v>894</v>
      </c>
      <c r="K429" s="12" t="s">
        <v>895</v>
      </c>
      <c r="L429" s="12"/>
      <c r="M429" s="11"/>
      <c r="N429" s="11"/>
      <c r="O429" s="11"/>
      <c r="P429" s="11"/>
    </row>
    <row r="430" spans="1:16" x14ac:dyDescent="0.25">
      <c r="A430" s="696">
        <v>56282</v>
      </c>
      <c r="B430" s="696">
        <v>1322</v>
      </c>
      <c r="C430" s="696">
        <v>100</v>
      </c>
      <c r="D430" s="696">
        <v>1000</v>
      </c>
      <c r="F430" s="700" t="s">
        <v>1292</v>
      </c>
      <c r="G430" s="701">
        <v>1150.04</v>
      </c>
      <c r="H430" s="12" t="s">
        <v>968</v>
      </c>
      <c r="I430" s="12" t="s">
        <v>893</v>
      </c>
      <c r="J430" s="12" t="s">
        <v>894</v>
      </c>
      <c r="K430" s="12" t="s">
        <v>895</v>
      </c>
      <c r="L430" s="12"/>
      <c r="M430" s="11"/>
      <c r="N430" s="11"/>
      <c r="O430" s="11"/>
      <c r="P430" s="11"/>
    </row>
    <row r="431" spans="1:16" x14ac:dyDescent="0.25">
      <c r="A431" s="696">
        <v>56290</v>
      </c>
      <c r="B431" s="696">
        <v>1322</v>
      </c>
      <c r="C431" s="696">
        <v>100</v>
      </c>
      <c r="D431" s="696">
        <v>1000</v>
      </c>
      <c r="F431" s="700" t="s">
        <v>1294</v>
      </c>
      <c r="G431" s="701">
        <v>855.82</v>
      </c>
      <c r="H431" s="12" t="s">
        <v>968</v>
      </c>
      <c r="I431" s="12" t="s">
        <v>893</v>
      </c>
      <c r="J431" s="12" t="s">
        <v>894</v>
      </c>
      <c r="K431" s="12" t="s">
        <v>895</v>
      </c>
      <c r="L431" s="12"/>
      <c r="M431" s="11"/>
      <c r="N431" s="11"/>
      <c r="O431" s="11"/>
      <c r="P431" s="11"/>
    </row>
    <row r="432" spans="1:16" x14ac:dyDescent="0.25">
      <c r="A432" s="696">
        <v>56231</v>
      </c>
      <c r="B432" s="696">
        <v>1227</v>
      </c>
      <c r="C432" s="696">
        <v>200</v>
      </c>
      <c r="D432" s="696">
        <v>2100</v>
      </c>
      <c r="F432" s="700" t="s">
        <v>1288</v>
      </c>
      <c r="G432" s="701">
        <v>775.04</v>
      </c>
      <c r="H432" s="12" t="s">
        <v>936</v>
      </c>
      <c r="I432" s="12" t="s">
        <v>897</v>
      </c>
      <c r="J432" s="12" t="s">
        <v>902</v>
      </c>
      <c r="K432" s="12" t="s">
        <v>895</v>
      </c>
      <c r="L432" s="12"/>
      <c r="M432" s="11"/>
      <c r="N432" s="11"/>
      <c r="O432" s="11"/>
      <c r="P432" s="11"/>
    </row>
    <row r="433" spans="1:16" x14ac:dyDescent="0.25">
      <c r="A433" s="696">
        <v>56213</v>
      </c>
      <c r="B433" s="696">
        <v>1487</v>
      </c>
      <c r="C433" s="696">
        <v>100</v>
      </c>
      <c r="D433" s="696">
        <v>2100</v>
      </c>
      <c r="F433" s="700" t="s">
        <v>1284</v>
      </c>
      <c r="G433" s="701">
        <v>34.78</v>
      </c>
      <c r="H433" s="12" t="s">
        <v>995</v>
      </c>
      <c r="I433" s="12" t="s">
        <v>893</v>
      </c>
      <c r="J433" s="12" t="s">
        <v>902</v>
      </c>
      <c r="K433" s="12" t="s">
        <v>895</v>
      </c>
      <c r="L433" s="12"/>
      <c r="M433" s="11"/>
      <c r="N433" s="11"/>
      <c r="O433" s="11"/>
      <c r="P433" s="11"/>
    </row>
    <row r="434" spans="1:16" x14ac:dyDescent="0.25">
      <c r="A434" s="696">
        <v>56213</v>
      </c>
      <c r="B434" s="696">
        <v>1531</v>
      </c>
      <c r="C434" s="696">
        <v>100</v>
      </c>
      <c r="D434" s="696">
        <v>2200</v>
      </c>
      <c r="F434" s="700" t="s">
        <v>1284</v>
      </c>
      <c r="G434" s="701">
        <v>211.56</v>
      </c>
      <c r="H434" s="12" t="s">
        <v>997</v>
      </c>
      <c r="I434" s="12" t="s">
        <v>893</v>
      </c>
      <c r="J434" s="12" t="s">
        <v>906</v>
      </c>
      <c r="K434" s="12" t="s">
        <v>895</v>
      </c>
      <c r="L434" s="12"/>
      <c r="M434" s="11"/>
      <c r="N434" s="11"/>
      <c r="O434" s="11"/>
      <c r="P434" s="11"/>
    </row>
    <row r="435" spans="1:16" x14ac:dyDescent="0.25">
      <c r="A435" s="696">
        <v>56213</v>
      </c>
      <c r="B435" s="696">
        <v>1534</v>
      </c>
      <c r="C435" s="696">
        <v>100</v>
      </c>
      <c r="D435" s="696">
        <v>2700</v>
      </c>
      <c r="F435" s="700" t="s">
        <v>1284</v>
      </c>
      <c r="G435" s="701">
        <v>0.1</v>
      </c>
      <c r="H435" s="12" t="s">
        <v>997</v>
      </c>
      <c r="I435" s="12" t="s">
        <v>913</v>
      </c>
      <c r="J435" s="12" t="s">
        <v>934</v>
      </c>
      <c r="K435" s="12" t="s">
        <v>895</v>
      </c>
      <c r="L435" s="12"/>
      <c r="M435" s="11"/>
      <c r="N435" s="11"/>
      <c r="O435" s="11"/>
      <c r="P435" s="11"/>
    </row>
    <row r="436" spans="1:16" x14ac:dyDescent="0.25">
      <c r="A436" s="696">
        <v>56213</v>
      </c>
      <c r="B436" s="696">
        <v>1534</v>
      </c>
      <c r="C436" s="696">
        <v>400</v>
      </c>
      <c r="D436" s="696">
        <v>2700</v>
      </c>
      <c r="F436" s="700" t="s">
        <v>1284</v>
      </c>
      <c r="G436" s="701">
        <v>5.12</v>
      </c>
      <c r="H436" s="12" t="s">
        <v>997</v>
      </c>
      <c r="I436" s="12" t="s">
        <v>913</v>
      </c>
      <c r="J436" s="12" t="s">
        <v>934</v>
      </c>
      <c r="K436" s="12" t="s">
        <v>895</v>
      </c>
      <c r="L436" s="12"/>
      <c r="M436" s="11"/>
      <c r="N436" s="11"/>
      <c r="O436" s="11"/>
      <c r="P436" s="11"/>
    </row>
    <row r="437" spans="1:16" x14ac:dyDescent="0.25">
      <c r="A437" s="696">
        <v>56213</v>
      </c>
      <c r="B437" s="696">
        <v>1756</v>
      </c>
      <c r="C437" s="696">
        <v>615</v>
      </c>
      <c r="D437" s="696">
        <v>1000</v>
      </c>
      <c r="F437" s="700" t="s">
        <v>1284</v>
      </c>
      <c r="G437" s="701">
        <v>0.71</v>
      </c>
      <c r="H437" s="12" t="s">
        <v>997</v>
      </c>
      <c r="I437" s="12" t="s">
        <v>937</v>
      </c>
      <c r="J437" s="12" t="s">
        <v>894</v>
      </c>
      <c r="K437" s="12" t="s">
        <v>895</v>
      </c>
      <c r="L437" s="12"/>
      <c r="M437" s="11"/>
      <c r="N437" s="11"/>
      <c r="O437" s="11"/>
      <c r="P437" s="11"/>
    </row>
    <row r="438" spans="1:16" x14ac:dyDescent="0.25">
      <c r="A438" s="696">
        <v>56213</v>
      </c>
      <c r="B438" s="696">
        <v>1766</v>
      </c>
      <c r="C438" s="696">
        <v>615</v>
      </c>
      <c r="D438" s="696">
        <v>1000</v>
      </c>
      <c r="F438" s="700" t="s">
        <v>1284</v>
      </c>
      <c r="G438" s="701">
        <v>0.79</v>
      </c>
      <c r="H438" s="12" t="s">
        <v>997</v>
      </c>
      <c r="I438" s="12" t="s">
        <v>937</v>
      </c>
      <c r="J438" s="12" t="s">
        <v>894</v>
      </c>
      <c r="K438" s="12" t="s">
        <v>895</v>
      </c>
      <c r="L438" s="12"/>
      <c r="M438" s="11"/>
      <c r="N438" s="11"/>
      <c r="O438" s="11"/>
      <c r="P438" s="11"/>
    </row>
    <row r="439" spans="1:16" x14ac:dyDescent="0.25">
      <c r="A439" s="696">
        <v>56213</v>
      </c>
      <c r="B439" s="696">
        <v>1769</v>
      </c>
      <c r="C439" s="696">
        <v>615</v>
      </c>
      <c r="D439" s="696">
        <v>1000</v>
      </c>
      <c r="F439" s="700" t="s">
        <v>1284</v>
      </c>
      <c r="G439" s="701">
        <v>0.86</v>
      </c>
      <c r="H439" s="12" t="s">
        <v>997</v>
      </c>
      <c r="I439" s="12" t="s">
        <v>937</v>
      </c>
      <c r="J439" s="12" t="s">
        <v>894</v>
      </c>
      <c r="K439" s="12" t="s">
        <v>895</v>
      </c>
      <c r="L439" s="12"/>
      <c r="M439" s="11"/>
      <c r="N439" s="11"/>
      <c r="O439" s="11"/>
      <c r="P439" s="11"/>
    </row>
    <row r="440" spans="1:16" x14ac:dyDescent="0.25">
      <c r="A440" s="696">
        <v>56213</v>
      </c>
      <c r="B440" s="696">
        <v>1772</v>
      </c>
      <c r="C440" s="696">
        <v>615</v>
      </c>
      <c r="D440" s="696">
        <v>1000</v>
      </c>
      <c r="F440" s="700" t="s">
        <v>1284</v>
      </c>
      <c r="G440" s="701">
        <v>1.65</v>
      </c>
      <c r="H440" s="12" t="s">
        <v>997</v>
      </c>
      <c r="I440" s="12" t="s">
        <v>937</v>
      </c>
      <c r="J440" s="12" t="s">
        <v>894</v>
      </c>
      <c r="K440" s="12" t="s">
        <v>895</v>
      </c>
      <c r="L440" s="12"/>
      <c r="M440" s="11"/>
      <c r="N440" s="11"/>
      <c r="O440" s="11"/>
      <c r="P440" s="11"/>
    </row>
    <row r="441" spans="1:16" x14ac:dyDescent="0.25">
      <c r="A441" s="696">
        <v>56213</v>
      </c>
      <c r="B441" s="696">
        <v>1774</v>
      </c>
      <c r="C441" s="696">
        <v>615</v>
      </c>
      <c r="D441" s="696">
        <v>1000</v>
      </c>
      <c r="F441" s="700" t="s">
        <v>1284</v>
      </c>
      <c r="G441" s="701">
        <v>1.82</v>
      </c>
      <c r="H441" s="12" t="s">
        <v>997</v>
      </c>
      <c r="I441" s="12" t="s">
        <v>937</v>
      </c>
      <c r="J441" s="12" t="s">
        <v>894</v>
      </c>
      <c r="K441" s="12" t="s">
        <v>895</v>
      </c>
      <c r="L441" s="12"/>
      <c r="M441" s="11"/>
      <c r="N441" s="11"/>
      <c r="O441" s="11"/>
      <c r="P441" s="11"/>
    </row>
    <row r="442" spans="1:16" x14ac:dyDescent="0.25">
      <c r="A442" s="696">
        <v>56213</v>
      </c>
      <c r="B442" s="696">
        <v>1782</v>
      </c>
      <c r="C442" s="696">
        <v>615</v>
      </c>
      <c r="D442" s="696">
        <v>1000</v>
      </c>
      <c r="F442" s="700" t="s">
        <v>1284</v>
      </c>
      <c r="G442" s="701">
        <v>0.31</v>
      </c>
      <c r="H442" s="12" t="s">
        <v>997</v>
      </c>
      <c r="I442" s="12" t="s">
        <v>937</v>
      </c>
      <c r="J442" s="12" t="s">
        <v>894</v>
      </c>
      <c r="K442" s="12" t="s">
        <v>895</v>
      </c>
      <c r="L442" s="12"/>
      <c r="M442" s="11"/>
      <c r="N442" s="11"/>
      <c r="O442" s="11"/>
      <c r="P442" s="11"/>
    </row>
    <row r="443" spans="1:16" x14ac:dyDescent="0.25">
      <c r="A443" s="696">
        <v>56213</v>
      </c>
      <c r="B443" s="696">
        <v>1784</v>
      </c>
      <c r="C443" s="696">
        <v>615</v>
      </c>
      <c r="D443" s="696">
        <v>1000</v>
      </c>
      <c r="F443" s="700" t="s">
        <v>1284</v>
      </c>
      <c r="G443" s="701">
        <v>0.28000000000000003</v>
      </c>
      <c r="H443" s="12" t="s">
        <v>997</v>
      </c>
      <c r="I443" s="12" t="s">
        <v>937</v>
      </c>
      <c r="J443" s="12" t="s">
        <v>894</v>
      </c>
      <c r="K443" s="12" t="s">
        <v>895</v>
      </c>
      <c r="L443" s="12"/>
      <c r="M443" s="11"/>
      <c r="N443" s="11"/>
      <c r="O443" s="11"/>
      <c r="P443" s="11"/>
    </row>
    <row r="444" spans="1:16" x14ac:dyDescent="0.25">
      <c r="A444" s="696">
        <v>56213</v>
      </c>
      <c r="B444" s="696">
        <v>1785</v>
      </c>
      <c r="C444" s="696">
        <v>615</v>
      </c>
      <c r="D444" s="696">
        <v>1000</v>
      </c>
      <c r="F444" s="700" t="s">
        <v>1284</v>
      </c>
      <c r="G444" s="701">
        <v>0.88</v>
      </c>
      <c r="H444" s="12" t="s">
        <v>997</v>
      </c>
      <c r="I444" s="12" t="s">
        <v>937</v>
      </c>
      <c r="J444" s="12" t="s">
        <v>894</v>
      </c>
      <c r="K444" s="12" t="s">
        <v>895</v>
      </c>
      <c r="L444" s="12"/>
      <c r="M444" s="11"/>
      <c r="N444" s="11"/>
      <c r="O444" s="11"/>
      <c r="P444" s="11"/>
    </row>
    <row r="445" spans="1:16" x14ac:dyDescent="0.25">
      <c r="A445" s="696">
        <v>56213</v>
      </c>
      <c r="B445" s="696">
        <v>1795</v>
      </c>
      <c r="C445" s="696">
        <v>615</v>
      </c>
      <c r="D445" s="696">
        <v>1000</v>
      </c>
      <c r="F445" s="700" t="s">
        <v>1284</v>
      </c>
      <c r="G445" s="701">
        <v>0.38</v>
      </c>
      <c r="H445" s="12" t="s">
        <v>997</v>
      </c>
      <c r="I445" s="12" t="s">
        <v>937</v>
      </c>
      <c r="J445" s="12" t="s">
        <v>894</v>
      </c>
      <c r="K445" s="12" t="s">
        <v>895</v>
      </c>
      <c r="L445" s="12"/>
      <c r="M445" s="11"/>
      <c r="N445" s="11"/>
      <c r="O445" s="11"/>
      <c r="P445" s="11"/>
    </row>
    <row r="446" spans="1:16" x14ac:dyDescent="0.25">
      <c r="A446" s="696">
        <v>56213</v>
      </c>
      <c r="B446" s="696">
        <v>1802</v>
      </c>
      <c r="C446" s="696">
        <v>615</v>
      </c>
      <c r="D446" s="696">
        <v>1000</v>
      </c>
      <c r="F446" s="700" t="s">
        <v>1284</v>
      </c>
      <c r="G446" s="701">
        <v>0.3</v>
      </c>
      <c r="H446" s="12" t="s">
        <v>997</v>
      </c>
      <c r="I446" s="12" t="s">
        <v>937</v>
      </c>
      <c r="J446" s="12" t="s">
        <v>894</v>
      </c>
      <c r="K446" s="12" t="s">
        <v>895</v>
      </c>
      <c r="L446" s="12"/>
      <c r="M446" s="11"/>
      <c r="N446" s="11"/>
      <c r="O446" s="11"/>
      <c r="P446" s="11"/>
    </row>
    <row r="447" spans="1:16" x14ac:dyDescent="0.25">
      <c r="A447" s="696">
        <v>56213</v>
      </c>
      <c r="B447" s="696">
        <v>1805</v>
      </c>
      <c r="C447" s="696">
        <v>615</v>
      </c>
      <c r="D447" s="696">
        <v>1000</v>
      </c>
      <c r="F447" s="700" t="s">
        <v>1284</v>
      </c>
      <c r="G447" s="701">
        <v>0.47</v>
      </c>
      <c r="H447" s="12" t="s">
        <v>997</v>
      </c>
      <c r="I447" s="12" t="s">
        <v>937</v>
      </c>
      <c r="J447" s="12" t="s">
        <v>894</v>
      </c>
      <c r="K447" s="12" t="s">
        <v>895</v>
      </c>
      <c r="L447" s="12"/>
      <c r="M447" s="11"/>
      <c r="N447" s="11"/>
      <c r="O447" s="11"/>
      <c r="P447" s="11"/>
    </row>
    <row r="448" spans="1:16" x14ac:dyDescent="0.25">
      <c r="A448" s="696">
        <v>56213</v>
      </c>
      <c r="B448" s="696">
        <v>1808</v>
      </c>
      <c r="C448" s="696">
        <v>615</v>
      </c>
      <c r="D448" s="696">
        <v>1000</v>
      </c>
      <c r="F448" s="700" t="s">
        <v>1284</v>
      </c>
      <c r="G448" s="701">
        <v>0.89</v>
      </c>
      <c r="H448" s="12" t="s">
        <v>997</v>
      </c>
      <c r="I448" s="12" t="s">
        <v>937</v>
      </c>
      <c r="J448" s="12" t="s">
        <v>894</v>
      </c>
      <c r="K448" s="12" t="s">
        <v>895</v>
      </c>
      <c r="L448" s="12"/>
      <c r="M448" s="11"/>
      <c r="N448" s="11"/>
      <c r="O448" s="11"/>
      <c r="P448" s="11"/>
    </row>
    <row r="449" spans="1:16" x14ac:dyDescent="0.25">
      <c r="A449" s="696">
        <v>56213</v>
      </c>
      <c r="B449" s="696">
        <v>1810</v>
      </c>
      <c r="C449" s="696">
        <v>615</v>
      </c>
      <c r="D449" s="696">
        <v>1000</v>
      </c>
      <c r="F449" s="700" t="s">
        <v>1284</v>
      </c>
      <c r="G449" s="701">
        <v>1.84</v>
      </c>
      <c r="H449" s="12" t="s">
        <v>997</v>
      </c>
      <c r="I449" s="12" t="s">
        <v>937</v>
      </c>
      <c r="J449" s="12" t="s">
        <v>894</v>
      </c>
      <c r="K449" s="12" t="s">
        <v>895</v>
      </c>
      <c r="L449" s="12"/>
      <c r="M449" s="11"/>
      <c r="N449" s="11"/>
      <c r="O449" s="11"/>
      <c r="P449" s="11"/>
    </row>
    <row r="450" spans="1:16" x14ac:dyDescent="0.25">
      <c r="A450" s="696">
        <v>56213</v>
      </c>
      <c r="B450" s="696">
        <v>1812</v>
      </c>
      <c r="C450" s="696">
        <v>615</v>
      </c>
      <c r="D450" s="696">
        <v>1000</v>
      </c>
      <c r="F450" s="700" t="s">
        <v>1284</v>
      </c>
      <c r="G450" s="701">
        <v>1.23</v>
      </c>
      <c r="H450" s="12" t="s">
        <v>997</v>
      </c>
      <c r="I450" s="12" t="s">
        <v>937</v>
      </c>
      <c r="J450" s="12" t="s">
        <v>894</v>
      </c>
      <c r="K450" s="12" t="s">
        <v>895</v>
      </c>
      <c r="L450" s="12"/>
      <c r="M450" s="11"/>
      <c r="N450" s="11"/>
      <c r="O450" s="11"/>
      <c r="P450" s="11"/>
    </row>
    <row r="451" spans="1:16" x14ac:dyDescent="0.25">
      <c r="A451" s="696">
        <v>56213</v>
      </c>
      <c r="B451" s="696">
        <v>1817</v>
      </c>
      <c r="C451" s="696">
        <v>615</v>
      </c>
      <c r="D451" s="696">
        <v>1000</v>
      </c>
      <c r="F451" s="700" t="s">
        <v>1284</v>
      </c>
      <c r="G451" s="701">
        <v>0.3</v>
      </c>
      <c r="H451" s="12" t="s">
        <v>997</v>
      </c>
      <c r="I451" s="12" t="s">
        <v>937</v>
      </c>
      <c r="J451" s="12" t="s">
        <v>894</v>
      </c>
      <c r="K451" s="12" t="s">
        <v>895</v>
      </c>
      <c r="L451" s="12"/>
      <c r="M451" s="11"/>
      <c r="N451" s="11"/>
      <c r="O451" s="11"/>
      <c r="P451" s="11"/>
    </row>
    <row r="452" spans="1:16" x14ac:dyDescent="0.25">
      <c r="A452" s="696">
        <v>56213</v>
      </c>
      <c r="B452" s="696">
        <v>1823</v>
      </c>
      <c r="C452" s="696">
        <v>615</v>
      </c>
      <c r="D452" s="696">
        <v>1000</v>
      </c>
      <c r="F452" s="700" t="s">
        <v>1284</v>
      </c>
      <c r="G452" s="701">
        <v>0.45</v>
      </c>
      <c r="H452" s="12" t="s">
        <v>997</v>
      </c>
      <c r="I452" s="12" t="s">
        <v>937</v>
      </c>
      <c r="J452" s="12" t="s">
        <v>894</v>
      </c>
      <c r="K452" s="12" t="s">
        <v>895</v>
      </c>
      <c r="L452" s="12"/>
      <c r="M452" s="11"/>
      <c r="N452" s="11"/>
      <c r="O452" s="11"/>
      <c r="P452" s="11"/>
    </row>
    <row r="453" spans="1:16" x14ac:dyDescent="0.25">
      <c r="A453" s="696">
        <v>56213</v>
      </c>
      <c r="B453" s="696">
        <v>1833</v>
      </c>
      <c r="C453" s="696">
        <v>615</v>
      </c>
      <c r="D453" s="696">
        <v>1000</v>
      </c>
      <c r="F453" s="700" t="s">
        <v>1284</v>
      </c>
      <c r="G453" s="701">
        <v>1.1299999999999999</v>
      </c>
      <c r="H453" s="12" t="s">
        <v>997</v>
      </c>
      <c r="I453" s="12" t="s">
        <v>937</v>
      </c>
      <c r="J453" s="12" t="s">
        <v>894</v>
      </c>
      <c r="K453" s="12" t="s">
        <v>895</v>
      </c>
      <c r="L453" s="12"/>
      <c r="M453" s="11"/>
      <c r="N453" s="11"/>
      <c r="O453" s="11"/>
      <c r="P453" s="11"/>
    </row>
    <row r="454" spans="1:16" x14ac:dyDescent="0.25">
      <c r="A454" s="696">
        <v>56213</v>
      </c>
      <c r="B454" s="696">
        <v>1834</v>
      </c>
      <c r="C454" s="696">
        <v>615</v>
      </c>
      <c r="D454" s="696">
        <v>1000</v>
      </c>
      <c r="F454" s="700" t="s">
        <v>1284</v>
      </c>
      <c r="G454" s="701">
        <v>0.49</v>
      </c>
      <c r="H454" s="12" t="s">
        <v>997</v>
      </c>
      <c r="I454" s="12" t="s">
        <v>937</v>
      </c>
      <c r="J454" s="12" t="s">
        <v>894</v>
      </c>
      <c r="K454" s="12" t="s">
        <v>895</v>
      </c>
      <c r="L454" s="12"/>
      <c r="M454" s="11"/>
      <c r="N454" s="11"/>
      <c r="O454" s="11"/>
      <c r="P454" s="11"/>
    </row>
    <row r="455" spans="1:16" x14ac:dyDescent="0.25">
      <c r="A455" s="696">
        <v>56213</v>
      </c>
      <c r="B455" s="696">
        <v>1835</v>
      </c>
      <c r="C455" s="696">
        <v>615</v>
      </c>
      <c r="D455" s="696">
        <v>1000</v>
      </c>
      <c r="F455" s="700" t="s">
        <v>1284</v>
      </c>
      <c r="G455" s="701">
        <v>0.47</v>
      </c>
      <c r="H455" s="12" t="s">
        <v>997</v>
      </c>
      <c r="I455" s="12" t="s">
        <v>937</v>
      </c>
      <c r="J455" s="12" t="s">
        <v>894</v>
      </c>
      <c r="K455" s="12" t="s">
        <v>895</v>
      </c>
      <c r="L455" s="12"/>
      <c r="M455" s="11"/>
      <c r="N455" s="11"/>
      <c r="O455" s="11"/>
      <c r="P455" s="11"/>
    </row>
    <row r="456" spans="1:16" x14ac:dyDescent="0.25">
      <c r="A456" s="696">
        <v>56213</v>
      </c>
      <c r="B456" s="696">
        <v>1836</v>
      </c>
      <c r="C456" s="696">
        <v>615</v>
      </c>
      <c r="D456" s="696">
        <v>1000</v>
      </c>
      <c r="F456" s="700" t="s">
        <v>1284</v>
      </c>
      <c r="G456" s="701">
        <v>0.52</v>
      </c>
      <c r="H456" s="12" t="s">
        <v>997</v>
      </c>
      <c r="I456" s="12" t="s">
        <v>937</v>
      </c>
      <c r="J456" s="12" t="s">
        <v>894</v>
      </c>
      <c r="K456" s="12" t="s">
        <v>895</v>
      </c>
      <c r="L456" s="12"/>
      <c r="M456" s="11"/>
      <c r="N456" s="11"/>
      <c r="O456" s="11"/>
      <c r="P456" s="11"/>
    </row>
    <row r="457" spans="1:16" x14ac:dyDescent="0.25">
      <c r="A457" s="696">
        <v>56213</v>
      </c>
      <c r="B457" s="696">
        <v>1844</v>
      </c>
      <c r="C457" s="696">
        <v>615</v>
      </c>
      <c r="D457" s="696">
        <v>1000</v>
      </c>
      <c r="F457" s="700" t="s">
        <v>1284</v>
      </c>
      <c r="G457" s="701">
        <v>0.45</v>
      </c>
      <c r="H457" s="12" t="s">
        <v>997</v>
      </c>
      <c r="I457" s="12" t="s">
        <v>937</v>
      </c>
      <c r="J457" s="12" t="s">
        <v>894</v>
      </c>
      <c r="K457" s="12" t="s">
        <v>895</v>
      </c>
      <c r="L457" s="12"/>
      <c r="M457" s="11"/>
      <c r="N457" s="11"/>
      <c r="O457" s="11"/>
      <c r="P457" s="11"/>
    </row>
    <row r="458" spans="1:16" x14ac:dyDescent="0.25">
      <c r="A458" s="696">
        <v>56213</v>
      </c>
      <c r="B458" s="696">
        <v>1853</v>
      </c>
      <c r="C458" s="696">
        <v>615</v>
      </c>
      <c r="D458" s="696">
        <v>1000</v>
      </c>
      <c r="F458" s="700" t="s">
        <v>1284</v>
      </c>
      <c r="G458" s="701">
        <v>0.88</v>
      </c>
      <c r="H458" s="12" t="s">
        <v>997</v>
      </c>
      <c r="I458" s="12" t="s">
        <v>937</v>
      </c>
      <c r="J458" s="12" t="s">
        <v>894</v>
      </c>
      <c r="K458" s="12" t="s">
        <v>895</v>
      </c>
      <c r="L458" s="12"/>
      <c r="M458" s="11"/>
      <c r="N458" s="11"/>
      <c r="O458" s="11"/>
      <c r="P458" s="11"/>
    </row>
    <row r="459" spans="1:16" x14ac:dyDescent="0.25">
      <c r="A459" s="696">
        <v>56213</v>
      </c>
      <c r="B459" s="696">
        <v>1859</v>
      </c>
      <c r="C459" s="696">
        <v>615</v>
      </c>
      <c r="D459" s="696">
        <v>1000</v>
      </c>
      <c r="F459" s="700" t="s">
        <v>1284</v>
      </c>
      <c r="G459" s="701">
        <v>0.48</v>
      </c>
      <c r="H459" s="12" t="s">
        <v>997</v>
      </c>
      <c r="I459" s="12" t="s">
        <v>937</v>
      </c>
      <c r="J459" s="12" t="s">
        <v>894</v>
      </c>
      <c r="K459" s="12" t="s">
        <v>895</v>
      </c>
      <c r="L459" s="12"/>
      <c r="M459" s="11"/>
      <c r="N459" s="11"/>
      <c r="O459" s="11"/>
      <c r="P459" s="11"/>
    </row>
    <row r="460" spans="1:16" x14ac:dyDescent="0.25">
      <c r="A460" s="696">
        <v>56213</v>
      </c>
      <c r="B460" s="696">
        <v>1867</v>
      </c>
      <c r="C460" s="696">
        <v>615</v>
      </c>
      <c r="D460" s="696">
        <v>1000</v>
      </c>
      <c r="F460" s="700" t="s">
        <v>1284</v>
      </c>
      <c r="G460" s="701">
        <v>0.7</v>
      </c>
      <c r="H460" s="12" t="s">
        <v>997</v>
      </c>
      <c r="I460" s="12" t="s">
        <v>937</v>
      </c>
      <c r="J460" s="12" t="s">
        <v>894</v>
      </c>
      <c r="K460" s="12" t="s">
        <v>895</v>
      </c>
      <c r="L460" s="12"/>
      <c r="M460" s="11"/>
      <c r="N460" s="11"/>
      <c r="O460" s="11"/>
      <c r="P460" s="11"/>
    </row>
    <row r="461" spans="1:16" x14ac:dyDescent="0.25">
      <c r="A461" s="696">
        <v>56214</v>
      </c>
      <c r="B461" s="696">
        <v>1000</v>
      </c>
      <c r="C461" s="696">
        <v>100</v>
      </c>
      <c r="D461" s="696">
        <v>1000</v>
      </c>
      <c r="F461" s="700" t="s">
        <v>1285</v>
      </c>
      <c r="G461" s="701">
        <v>21984.76</v>
      </c>
      <c r="H461" s="12" t="s">
        <v>889</v>
      </c>
      <c r="I461" s="12" t="s">
        <v>893</v>
      </c>
      <c r="J461" s="12" t="s">
        <v>894</v>
      </c>
      <c r="K461" s="12" t="s">
        <v>895</v>
      </c>
      <c r="L461" s="12"/>
      <c r="M461" s="11"/>
      <c r="N461" s="11"/>
      <c r="O461" s="11"/>
      <c r="P461" s="11"/>
    </row>
    <row r="462" spans="1:16" x14ac:dyDescent="0.25">
      <c r="A462" s="696">
        <v>56214</v>
      </c>
      <c r="B462" s="696">
        <v>1000</v>
      </c>
      <c r="C462" s="696">
        <v>100</v>
      </c>
      <c r="D462" s="696">
        <v>2100</v>
      </c>
      <c r="F462" s="700" t="s">
        <v>1285</v>
      </c>
      <c r="G462" s="701">
        <v>8672.1</v>
      </c>
      <c r="H462" s="12" t="s">
        <v>889</v>
      </c>
      <c r="I462" s="12" t="s">
        <v>893</v>
      </c>
      <c r="J462" s="12" t="s">
        <v>902</v>
      </c>
      <c r="K462" s="12" t="s">
        <v>895</v>
      </c>
      <c r="L462" s="12"/>
      <c r="M462" s="11"/>
      <c r="N462" s="11"/>
      <c r="O462" s="11"/>
      <c r="P462" s="11"/>
    </row>
    <row r="463" spans="1:16" x14ac:dyDescent="0.25">
      <c r="A463" s="696">
        <v>56214</v>
      </c>
      <c r="B463" s="696">
        <v>1000</v>
      </c>
      <c r="C463" s="696">
        <v>100</v>
      </c>
      <c r="D463" s="696">
        <v>2110</v>
      </c>
      <c r="F463" s="700" t="s">
        <v>1285</v>
      </c>
      <c r="G463" s="701">
        <v>269.3</v>
      </c>
      <c r="H463" s="12" t="s">
        <v>889</v>
      </c>
      <c r="I463" s="12" t="s">
        <v>893</v>
      </c>
      <c r="J463" s="12" t="s">
        <v>902</v>
      </c>
      <c r="K463" s="12" t="s">
        <v>895</v>
      </c>
      <c r="L463" s="12"/>
      <c r="M463" s="11"/>
      <c r="N463" s="11"/>
      <c r="O463" s="11"/>
      <c r="P463" s="11"/>
    </row>
    <row r="464" spans="1:16" x14ac:dyDescent="0.25">
      <c r="A464" s="696">
        <v>56214</v>
      </c>
      <c r="B464" s="696">
        <v>1000</v>
      </c>
      <c r="C464" s="696">
        <v>100</v>
      </c>
      <c r="D464" s="696">
        <v>2200</v>
      </c>
      <c r="F464" s="700" t="s">
        <v>1285</v>
      </c>
      <c r="G464" s="701">
        <v>1959.14</v>
      </c>
      <c r="H464" s="12" t="s">
        <v>889</v>
      </c>
      <c r="I464" s="12" t="s">
        <v>893</v>
      </c>
      <c r="J464" s="12" t="s">
        <v>906</v>
      </c>
      <c r="K464" s="12" t="s">
        <v>895</v>
      </c>
      <c r="L464" s="12"/>
      <c r="M464" s="11"/>
      <c r="N464" s="11"/>
      <c r="O464" s="11"/>
      <c r="P464" s="11"/>
    </row>
    <row r="465" spans="1:16" x14ac:dyDescent="0.25">
      <c r="A465" s="696">
        <v>56214</v>
      </c>
      <c r="B465" s="696">
        <v>1000</v>
      </c>
      <c r="C465" s="696">
        <v>100</v>
      </c>
      <c r="D465" s="696">
        <v>2300</v>
      </c>
      <c r="F465" s="700" t="s">
        <v>1285</v>
      </c>
      <c r="G465" s="701">
        <v>396.78</v>
      </c>
      <c r="H465" s="12" t="s">
        <v>889</v>
      </c>
      <c r="I465" s="12" t="s">
        <v>893</v>
      </c>
      <c r="J465" s="12" t="s">
        <v>918</v>
      </c>
      <c r="K465" s="12" t="s">
        <v>895</v>
      </c>
      <c r="L465" s="12"/>
      <c r="M465" s="11"/>
      <c r="N465" s="11"/>
      <c r="O465" s="11"/>
      <c r="P465" s="11"/>
    </row>
    <row r="466" spans="1:16" x14ac:dyDescent="0.25">
      <c r="A466" s="696">
        <v>56214</v>
      </c>
      <c r="B466" s="696">
        <v>1000</v>
      </c>
      <c r="C466" s="696">
        <v>100</v>
      </c>
      <c r="D466" s="696">
        <v>2310</v>
      </c>
      <c r="F466" s="700" t="s">
        <v>1285</v>
      </c>
      <c r="G466" s="701">
        <v>134.65</v>
      </c>
      <c r="H466" s="12" t="s">
        <v>889</v>
      </c>
      <c r="I466" s="12" t="s">
        <v>893</v>
      </c>
      <c r="J466" s="12" t="s">
        <v>918</v>
      </c>
      <c r="K466" s="12" t="s">
        <v>895</v>
      </c>
      <c r="L466" s="12"/>
      <c r="M466" s="11"/>
      <c r="N466" s="11"/>
      <c r="O466" s="11"/>
      <c r="P466" s="11"/>
    </row>
    <row r="467" spans="1:16" x14ac:dyDescent="0.25">
      <c r="A467" s="696">
        <v>56214</v>
      </c>
      <c r="B467" s="696">
        <v>1000</v>
      </c>
      <c r="C467" s="696">
        <v>100</v>
      </c>
      <c r="D467" s="696">
        <v>2400</v>
      </c>
      <c r="F467" s="700" t="s">
        <v>1285</v>
      </c>
      <c r="G467" s="701">
        <v>2090.69</v>
      </c>
      <c r="H467" s="12" t="s">
        <v>889</v>
      </c>
      <c r="I467" s="12" t="s">
        <v>893</v>
      </c>
      <c r="J467" s="12" t="s">
        <v>922</v>
      </c>
      <c r="K467" s="12" t="s">
        <v>895</v>
      </c>
      <c r="L467" s="12"/>
      <c r="M467" s="11"/>
      <c r="N467" s="11"/>
      <c r="O467" s="11"/>
      <c r="P467" s="11"/>
    </row>
    <row r="468" spans="1:16" x14ac:dyDescent="0.25">
      <c r="A468" s="696">
        <v>56214</v>
      </c>
      <c r="B468" s="696">
        <v>1000</v>
      </c>
      <c r="C468" s="696">
        <v>100</v>
      </c>
      <c r="D468" s="696">
        <v>2410</v>
      </c>
      <c r="F468" s="700" t="s">
        <v>1285</v>
      </c>
      <c r="G468" s="701">
        <v>224.92</v>
      </c>
      <c r="H468" s="12" t="s">
        <v>889</v>
      </c>
      <c r="I468" s="12" t="s">
        <v>893</v>
      </c>
      <c r="J468" s="12" t="s">
        <v>922</v>
      </c>
      <c r="K468" s="12" t="s">
        <v>895</v>
      </c>
      <c r="L468" s="12"/>
      <c r="M468" s="11"/>
      <c r="N468" s="11"/>
      <c r="O468" s="11"/>
      <c r="P468" s="11"/>
    </row>
    <row r="469" spans="1:16" x14ac:dyDescent="0.25">
      <c r="A469" s="696">
        <v>56214</v>
      </c>
      <c r="B469" s="696">
        <v>1000</v>
      </c>
      <c r="C469" s="696">
        <v>100</v>
      </c>
      <c r="D469" s="696">
        <v>2500</v>
      </c>
      <c r="F469" s="700" t="s">
        <v>1285</v>
      </c>
      <c r="G469" s="701">
        <v>32383.35</v>
      </c>
      <c r="H469" s="12" t="s">
        <v>889</v>
      </c>
      <c r="I469" s="12" t="s">
        <v>893</v>
      </c>
      <c r="J469" s="12" t="s">
        <v>926</v>
      </c>
      <c r="K469" s="12" t="s">
        <v>895</v>
      </c>
      <c r="L469" s="12"/>
      <c r="M469" s="11"/>
      <c r="N469" s="11"/>
      <c r="O469" s="11"/>
      <c r="P469" s="11"/>
    </row>
    <row r="470" spans="1:16" x14ac:dyDescent="0.25">
      <c r="A470" s="696">
        <v>56214</v>
      </c>
      <c r="B470" s="696">
        <v>1000</v>
      </c>
      <c r="C470" s="696">
        <v>100</v>
      </c>
      <c r="D470" s="696">
        <v>2510</v>
      </c>
      <c r="F470" s="700" t="s">
        <v>1285</v>
      </c>
      <c r="G470" s="701">
        <v>134.86000000000001</v>
      </c>
      <c r="H470" s="12" t="s">
        <v>889</v>
      </c>
      <c r="I470" s="12" t="s">
        <v>893</v>
      </c>
      <c r="J470" s="12" t="s">
        <v>926</v>
      </c>
      <c r="K470" s="12" t="s">
        <v>895</v>
      </c>
      <c r="L470" s="12"/>
      <c r="M470" s="11"/>
      <c r="N470" s="11"/>
      <c r="O470" s="11"/>
      <c r="P470" s="11"/>
    </row>
    <row r="471" spans="1:16" x14ac:dyDescent="0.25">
      <c r="A471" s="696">
        <v>56214</v>
      </c>
      <c r="B471" s="696">
        <v>1000</v>
      </c>
      <c r="C471" s="696">
        <v>100</v>
      </c>
      <c r="D471" s="696">
        <v>2600</v>
      </c>
      <c r="F471" s="700" t="s">
        <v>1285</v>
      </c>
      <c r="G471" s="701">
        <v>235.73</v>
      </c>
      <c r="H471" s="12" t="s">
        <v>889</v>
      </c>
      <c r="I471" s="12" t="s">
        <v>893</v>
      </c>
      <c r="J471" s="12" t="s">
        <v>930</v>
      </c>
      <c r="K471" s="12" t="s">
        <v>895</v>
      </c>
      <c r="L471" s="12"/>
      <c r="M471" s="11"/>
      <c r="N471" s="11"/>
      <c r="O471" s="11"/>
      <c r="P471" s="11"/>
    </row>
    <row r="472" spans="1:16" x14ac:dyDescent="0.25">
      <c r="A472" s="696">
        <v>56214</v>
      </c>
      <c r="B472" s="696">
        <v>1000</v>
      </c>
      <c r="C472" s="696">
        <v>100</v>
      </c>
      <c r="D472" s="696">
        <v>2700</v>
      </c>
      <c r="F472" s="700" t="s">
        <v>1285</v>
      </c>
      <c r="G472" s="701">
        <v>0.03</v>
      </c>
      <c r="H472" s="12" t="s">
        <v>889</v>
      </c>
      <c r="I472" s="12" t="s">
        <v>913</v>
      </c>
      <c r="J472" s="12" t="s">
        <v>934</v>
      </c>
      <c r="K472" s="12" t="s">
        <v>895</v>
      </c>
      <c r="L472" s="12"/>
      <c r="M472" s="11"/>
      <c r="N472" s="11"/>
      <c r="O472" s="11"/>
      <c r="P472" s="11"/>
    </row>
    <row r="473" spans="1:16" x14ac:dyDescent="0.25">
      <c r="A473" s="696">
        <v>56214</v>
      </c>
      <c r="B473" s="696">
        <v>1000</v>
      </c>
      <c r="C473" s="696">
        <v>100</v>
      </c>
      <c r="D473" s="696">
        <v>3100</v>
      </c>
      <c r="F473" s="700" t="s">
        <v>1285</v>
      </c>
      <c r="G473" s="701">
        <v>81.819999999999993</v>
      </c>
      <c r="H473" s="12" t="s">
        <v>889</v>
      </c>
      <c r="I473" s="12" t="s">
        <v>893</v>
      </c>
      <c r="J473" s="12" t="s">
        <v>942</v>
      </c>
      <c r="K473" s="12" t="s">
        <v>895</v>
      </c>
      <c r="L473" s="12"/>
      <c r="M473" s="11"/>
      <c r="N473" s="11"/>
      <c r="O473" s="11"/>
      <c r="P473" s="11"/>
    </row>
    <row r="474" spans="1:16" x14ac:dyDescent="0.25">
      <c r="A474" s="696">
        <v>56214</v>
      </c>
      <c r="B474" s="696">
        <v>1000</v>
      </c>
      <c r="C474" s="696">
        <v>200</v>
      </c>
      <c r="D474" s="696">
        <v>1000</v>
      </c>
      <c r="F474" s="700" t="s">
        <v>1285</v>
      </c>
      <c r="G474" s="701">
        <v>1811.39</v>
      </c>
      <c r="H474" s="12" t="s">
        <v>889</v>
      </c>
      <c r="I474" s="12" t="s">
        <v>897</v>
      </c>
      <c r="J474" s="12" t="s">
        <v>894</v>
      </c>
      <c r="K474" s="12" t="s">
        <v>895</v>
      </c>
      <c r="L474" s="12"/>
      <c r="M474" s="11"/>
      <c r="N474" s="11"/>
      <c r="O474" s="11"/>
      <c r="P474" s="11"/>
    </row>
    <row r="475" spans="1:16" x14ac:dyDescent="0.25">
      <c r="A475" s="696">
        <v>56214</v>
      </c>
      <c r="B475" s="696">
        <v>1000</v>
      </c>
      <c r="C475" s="696">
        <v>200</v>
      </c>
      <c r="D475" s="696">
        <v>2100</v>
      </c>
      <c r="F475" s="700" t="s">
        <v>1285</v>
      </c>
      <c r="G475" s="701">
        <v>30.93</v>
      </c>
      <c r="H475" s="12" t="s">
        <v>889</v>
      </c>
      <c r="I475" s="12" t="s">
        <v>897</v>
      </c>
      <c r="J475" s="12" t="s">
        <v>902</v>
      </c>
      <c r="K475" s="12" t="s">
        <v>895</v>
      </c>
      <c r="L475" s="12"/>
      <c r="M475" s="11"/>
      <c r="N475" s="11"/>
      <c r="O475" s="11"/>
      <c r="P475" s="11"/>
    </row>
    <row r="476" spans="1:16" x14ac:dyDescent="0.25">
      <c r="A476" s="696">
        <v>56214</v>
      </c>
      <c r="B476" s="696">
        <v>1000</v>
      </c>
      <c r="C476" s="696">
        <v>200</v>
      </c>
      <c r="D476" s="696">
        <v>2200</v>
      </c>
      <c r="F476" s="700" t="s">
        <v>1285</v>
      </c>
      <c r="G476" s="701">
        <v>196.43</v>
      </c>
      <c r="H476" s="12" t="s">
        <v>889</v>
      </c>
      <c r="I476" s="12" t="s">
        <v>897</v>
      </c>
      <c r="J476" s="12" t="s">
        <v>906</v>
      </c>
      <c r="K476" s="12" t="s">
        <v>895</v>
      </c>
      <c r="L476" s="12"/>
      <c r="M476" s="11"/>
      <c r="N476" s="11"/>
      <c r="O476" s="11"/>
      <c r="P476" s="11"/>
    </row>
    <row r="477" spans="1:16" x14ac:dyDescent="0.25">
      <c r="A477" s="696">
        <v>56214</v>
      </c>
      <c r="B477" s="696">
        <v>1000</v>
      </c>
      <c r="C477" s="696">
        <v>200</v>
      </c>
      <c r="D477" s="696">
        <v>2500</v>
      </c>
      <c r="F477" s="700" t="s">
        <v>1285</v>
      </c>
      <c r="G477" s="701">
        <v>27.18</v>
      </c>
      <c r="H477" s="12" t="s">
        <v>889</v>
      </c>
      <c r="I477" s="12" t="s">
        <v>897</v>
      </c>
      <c r="J477" s="12" t="s">
        <v>926</v>
      </c>
      <c r="K477" s="12" t="s">
        <v>895</v>
      </c>
      <c r="L477" s="12"/>
      <c r="M477" s="11"/>
      <c r="N477" s="11"/>
      <c r="O477" s="11"/>
      <c r="P477" s="11"/>
    </row>
    <row r="478" spans="1:16" x14ac:dyDescent="0.25">
      <c r="A478" s="696">
        <v>56214</v>
      </c>
      <c r="B478" s="696">
        <v>1000</v>
      </c>
      <c r="C478" s="696">
        <v>240</v>
      </c>
      <c r="D478" s="696">
        <v>1000</v>
      </c>
      <c r="F478" s="700" t="s">
        <v>1285</v>
      </c>
      <c r="G478" s="701">
        <v>151.58000000000001</v>
      </c>
      <c r="H478" s="12" t="s">
        <v>889</v>
      </c>
      <c r="I478" s="12" t="s">
        <v>897</v>
      </c>
      <c r="J478" s="12" t="s">
        <v>894</v>
      </c>
      <c r="K478" s="12" t="s">
        <v>895</v>
      </c>
      <c r="L478" s="12"/>
      <c r="M478" s="11"/>
      <c r="N478" s="11"/>
      <c r="O478" s="11"/>
      <c r="P478" s="11"/>
    </row>
    <row r="479" spans="1:16" x14ac:dyDescent="0.25">
      <c r="A479" s="696">
        <v>56214</v>
      </c>
      <c r="B479" s="696">
        <v>1000</v>
      </c>
      <c r="C479" s="696">
        <v>260</v>
      </c>
      <c r="D479" s="696">
        <v>1000</v>
      </c>
      <c r="F479" s="700" t="s">
        <v>1285</v>
      </c>
      <c r="G479" s="701">
        <v>161.33000000000001</v>
      </c>
      <c r="H479" s="12" t="s">
        <v>896</v>
      </c>
      <c r="I479" s="12" t="s">
        <v>901</v>
      </c>
      <c r="J479" s="12" t="s">
        <v>894</v>
      </c>
      <c r="K479" s="12" t="s">
        <v>895</v>
      </c>
      <c r="L479" s="12"/>
      <c r="M479" s="11"/>
      <c r="N479" s="11"/>
      <c r="O479" s="11"/>
      <c r="P479" s="11"/>
    </row>
    <row r="480" spans="1:16" x14ac:dyDescent="0.25">
      <c r="A480" s="696">
        <v>56214</v>
      </c>
      <c r="B480" s="696">
        <v>1000</v>
      </c>
      <c r="C480" s="696">
        <v>400</v>
      </c>
      <c r="D480" s="696">
        <v>2700</v>
      </c>
      <c r="F480" s="700" t="s">
        <v>1285</v>
      </c>
      <c r="G480" s="701">
        <v>7.29</v>
      </c>
      <c r="H480" s="12" t="s">
        <v>889</v>
      </c>
      <c r="I480" s="12" t="s">
        <v>913</v>
      </c>
      <c r="J480" s="12" t="s">
        <v>934</v>
      </c>
      <c r="K480" s="12" t="s">
        <v>895</v>
      </c>
      <c r="L480" s="12"/>
      <c r="M480" s="11"/>
      <c r="N480" s="11"/>
      <c r="O480" s="11"/>
      <c r="P480" s="11"/>
    </row>
    <row r="481" spans="1:16" x14ac:dyDescent="0.25">
      <c r="A481" s="696">
        <v>56214</v>
      </c>
      <c r="B481" s="696">
        <v>1000</v>
      </c>
      <c r="C481" s="696">
        <v>615</v>
      </c>
      <c r="D481" s="696">
        <v>1000</v>
      </c>
      <c r="F481" s="700" t="s">
        <v>1285</v>
      </c>
      <c r="G481" s="701">
        <v>4.26</v>
      </c>
      <c r="H481" s="12" t="s">
        <v>889</v>
      </c>
      <c r="I481" s="12" t="s">
        <v>937</v>
      </c>
      <c r="J481" s="12" t="s">
        <v>894</v>
      </c>
      <c r="K481" s="12" t="s">
        <v>895</v>
      </c>
      <c r="L481" s="12"/>
      <c r="M481" s="11"/>
      <c r="N481" s="11"/>
      <c r="O481" s="11"/>
      <c r="P481" s="11"/>
    </row>
    <row r="482" spans="1:16" x14ac:dyDescent="0.25">
      <c r="A482" s="696">
        <v>56214</v>
      </c>
      <c r="B482" s="696">
        <v>1220</v>
      </c>
      <c r="C482" s="696">
        <v>200</v>
      </c>
      <c r="D482" s="696">
        <v>1000</v>
      </c>
      <c r="F482" s="700" t="s">
        <v>1285</v>
      </c>
      <c r="G482" s="701">
        <v>185.15</v>
      </c>
      <c r="H482" s="12" t="s">
        <v>932</v>
      </c>
      <c r="I482" s="12" t="s">
        <v>897</v>
      </c>
      <c r="J482" s="12" t="s">
        <v>894</v>
      </c>
      <c r="K482" s="12" t="s">
        <v>895</v>
      </c>
      <c r="L482" s="12"/>
      <c r="M482" s="11"/>
      <c r="N482" s="11"/>
      <c r="O482" s="11"/>
      <c r="P482" s="11"/>
    </row>
    <row r="483" spans="1:16" x14ac:dyDescent="0.25">
      <c r="A483" s="696">
        <v>56214</v>
      </c>
      <c r="B483" s="696">
        <v>1220</v>
      </c>
      <c r="C483" s="696">
        <v>200</v>
      </c>
      <c r="D483" s="696">
        <v>2100</v>
      </c>
      <c r="F483" s="700" t="s">
        <v>1285</v>
      </c>
      <c r="G483" s="701">
        <v>936.29</v>
      </c>
      <c r="H483" s="12" t="s">
        <v>932</v>
      </c>
      <c r="I483" s="12" t="s">
        <v>897</v>
      </c>
      <c r="J483" s="12" t="s">
        <v>902</v>
      </c>
      <c r="K483" s="12" t="s">
        <v>895</v>
      </c>
      <c r="L483" s="12"/>
      <c r="M483" s="11"/>
      <c r="N483" s="11"/>
      <c r="O483" s="11"/>
      <c r="P483" s="11"/>
    </row>
    <row r="484" spans="1:16" x14ac:dyDescent="0.25">
      <c r="A484" s="696">
        <v>56210</v>
      </c>
      <c r="B484" s="696">
        <v>1322</v>
      </c>
      <c r="C484" s="696">
        <v>100</v>
      </c>
      <c r="D484" s="696">
        <v>2100</v>
      </c>
      <c r="F484" s="700" t="s">
        <v>1281</v>
      </c>
      <c r="G484" s="701">
        <v>33016.26</v>
      </c>
      <c r="H484" s="12" t="s">
        <v>968</v>
      </c>
      <c r="I484" s="12" t="s">
        <v>893</v>
      </c>
      <c r="J484" s="12" t="s">
        <v>902</v>
      </c>
      <c r="K484" s="12" t="s">
        <v>895</v>
      </c>
      <c r="L484" s="12"/>
      <c r="M484" s="11"/>
      <c r="N484" s="11"/>
      <c r="O484" s="11"/>
      <c r="P484" s="11"/>
    </row>
    <row r="485" spans="1:16" x14ac:dyDescent="0.25">
      <c r="A485" s="696">
        <v>56211</v>
      </c>
      <c r="B485" s="696">
        <v>1322</v>
      </c>
      <c r="C485" s="696">
        <v>100</v>
      </c>
      <c r="D485" s="696">
        <v>2100</v>
      </c>
      <c r="F485" s="700" t="s">
        <v>1282</v>
      </c>
      <c r="G485" s="701">
        <v>1198.1600000000001</v>
      </c>
      <c r="H485" s="12" t="s">
        <v>968</v>
      </c>
      <c r="I485" s="12" t="s">
        <v>893</v>
      </c>
      <c r="J485" s="12" t="s">
        <v>902</v>
      </c>
      <c r="K485" s="12" t="s">
        <v>895</v>
      </c>
      <c r="L485" s="12"/>
      <c r="M485" s="11"/>
      <c r="N485" s="11"/>
      <c r="O485" s="11"/>
      <c r="P485" s="11"/>
    </row>
    <row r="486" spans="1:16" x14ac:dyDescent="0.25">
      <c r="A486" s="696">
        <v>56212</v>
      </c>
      <c r="B486" s="696">
        <v>1322</v>
      </c>
      <c r="C486" s="696">
        <v>100</v>
      </c>
      <c r="D486" s="696">
        <v>2100</v>
      </c>
      <c r="F486" s="700" t="s">
        <v>1283</v>
      </c>
      <c r="G486" s="701">
        <v>417.08</v>
      </c>
      <c r="H486" s="12" t="s">
        <v>968</v>
      </c>
      <c r="I486" s="12" t="s">
        <v>893</v>
      </c>
      <c r="J486" s="12" t="s">
        <v>902</v>
      </c>
      <c r="K486" s="12" t="s">
        <v>895</v>
      </c>
      <c r="L486" s="12"/>
      <c r="M486" s="11"/>
      <c r="N486" s="11"/>
      <c r="O486" s="11"/>
      <c r="P486" s="11"/>
    </row>
    <row r="487" spans="1:16" x14ac:dyDescent="0.25">
      <c r="A487" s="696">
        <v>56213</v>
      </c>
      <c r="B487" s="696">
        <v>1322</v>
      </c>
      <c r="C487" s="696">
        <v>100</v>
      </c>
      <c r="D487" s="696">
        <v>2100</v>
      </c>
      <c r="F487" s="700" t="s">
        <v>1284</v>
      </c>
      <c r="G487" s="701">
        <v>194.64</v>
      </c>
      <c r="H487" s="12" t="s">
        <v>968</v>
      </c>
      <c r="I487" s="12" t="s">
        <v>893</v>
      </c>
      <c r="J487" s="12" t="s">
        <v>902</v>
      </c>
      <c r="K487" s="12" t="s">
        <v>895</v>
      </c>
      <c r="L487" s="12"/>
      <c r="M487" s="11"/>
      <c r="N487" s="11"/>
      <c r="O487" s="11"/>
      <c r="P487" s="11"/>
    </row>
    <row r="488" spans="1:16" x14ac:dyDescent="0.25">
      <c r="A488" s="696">
        <v>56214</v>
      </c>
      <c r="B488" s="696">
        <v>1322</v>
      </c>
      <c r="C488" s="696">
        <v>100</v>
      </c>
      <c r="D488" s="696">
        <v>2100</v>
      </c>
      <c r="F488" s="700" t="s">
        <v>1285</v>
      </c>
      <c r="G488" s="701">
        <v>1065.08</v>
      </c>
      <c r="H488" s="12" t="s">
        <v>968</v>
      </c>
      <c r="I488" s="12" t="s">
        <v>893</v>
      </c>
      <c r="J488" s="12" t="s">
        <v>902</v>
      </c>
      <c r="K488" s="12" t="s">
        <v>895</v>
      </c>
      <c r="L488" s="12"/>
      <c r="M488" s="11"/>
      <c r="N488" s="11"/>
      <c r="O488" s="11"/>
      <c r="P488" s="11"/>
    </row>
    <row r="489" spans="1:16" x14ac:dyDescent="0.25">
      <c r="A489" s="696">
        <v>56221</v>
      </c>
      <c r="B489" s="696">
        <v>1322</v>
      </c>
      <c r="C489" s="696">
        <v>100</v>
      </c>
      <c r="D489" s="696">
        <v>2100</v>
      </c>
      <c r="F489" s="700" t="s">
        <v>1286</v>
      </c>
      <c r="G489" s="701">
        <v>28532.57</v>
      </c>
      <c r="H489" s="12" t="s">
        <v>968</v>
      </c>
      <c r="I489" s="12" t="s">
        <v>893</v>
      </c>
      <c r="J489" s="12" t="s">
        <v>902</v>
      </c>
      <c r="K489" s="12" t="s">
        <v>895</v>
      </c>
      <c r="L489" s="12"/>
      <c r="M489" s="11"/>
      <c r="N489" s="11"/>
      <c r="O489" s="11"/>
      <c r="P489" s="11"/>
    </row>
    <row r="490" spans="1:16" x14ac:dyDescent="0.25">
      <c r="A490" s="696">
        <v>56214</v>
      </c>
      <c r="B490" s="696">
        <v>1487</v>
      </c>
      <c r="C490" s="696">
        <v>100</v>
      </c>
      <c r="D490" s="696">
        <v>2100</v>
      </c>
      <c r="F490" s="700" t="s">
        <v>1285</v>
      </c>
      <c r="G490" s="701">
        <v>167.69</v>
      </c>
      <c r="H490" s="12" t="s">
        <v>995</v>
      </c>
      <c r="I490" s="12" t="s">
        <v>893</v>
      </c>
      <c r="J490" s="12" t="s">
        <v>902</v>
      </c>
      <c r="K490" s="12" t="s">
        <v>895</v>
      </c>
      <c r="L490" s="12"/>
      <c r="M490" s="11"/>
      <c r="N490" s="11"/>
      <c r="O490" s="11"/>
      <c r="P490" s="11"/>
    </row>
    <row r="491" spans="1:16" x14ac:dyDescent="0.25">
      <c r="A491" s="696">
        <v>56214</v>
      </c>
      <c r="B491" s="696">
        <v>1531</v>
      </c>
      <c r="C491" s="696">
        <v>100</v>
      </c>
      <c r="D491" s="696">
        <v>2200</v>
      </c>
      <c r="F491" s="700" t="s">
        <v>1285</v>
      </c>
      <c r="G491" s="701">
        <v>1118.93</v>
      </c>
      <c r="H491" s="12" t="s">
        <v>997</v>
      </c>
      <c r="I491" s="12" t="s">
        <v>893</v>
      </c>
      <c r="J491" s="12" t="s">
        <v>906</v>
      </c>
      <c r="K491" s="12" t="s">
        <v>895</v>
      </c>
      <c r="L491" s="12"/>
      <c r="M491" s="11"/>
      <c r="N491" s="11"/>
      <c r="O491" s="11"/>
      <c r="P491" s="11"/>
    </row>
    <row r="492" spans="1:16" x14ac:dyDescent="0.25">
      <c r="A492" s="696">
        <v>56214</v>
      </c>
      <c r="B492" s="696">
        <v>1531</v>
      </c>
      <c r="C492" s="696">
        <v>100</v>
      </c>
      <c r="D492" s="696">
        <v>2500</v>
      </c>
      <c r="F492" s="700" t="s">
        <v>1285</v>
      </c>
      <c r="G492" s="701">
        <v>0</v>
      </c>
      <c r="H492" s="12" t="s">
        <v>997</v>
      </c>
      <c r="I492" s="12" t="s">
        <v>893</v>
      </c>
      <c r="J492" s="12" t="s">
        <v>926</v>
      </c>
      <c r="K492" s="12" t="s">
        <v>895</v>
      </c>
      <c r="L492" s="12"/>
      <c r="M492" s="11"/>
      <c r="N492" s="11"/>
      <c r="O492" s="11"/>
      <c r="P492" s="11"/>
    </row>
    <row r="493" spans="1:16" x14ac:dyDescent="0.25">
      <c r="A493" s="696">
        <v>56214</v>
      </c>
      <c r="B493" s="696">
        <v>1534</v>
      </c>
      <c r="C493" s="696">
        <v>100</v>
      </c>
      <c r="D493" s="696">
        <v>2700</v>
      </c>
      <c r="F493" s="700" t="s">
        <v>1285</v>
      </c>
      <c r="G493" s="701">
        <v>0.04</v>
      </c>
      <c r="H493" s="12" t="s">
        <v>997</v>
      </c>
      <c r="I493" s="12" t="s">
        <v>913</v>
      </c>
      <c r="J493" s="12" t="s">
        <v>934</v>
      </c>
      <c r="K493" s="12" t="s">
        <v>895</v>
      </c>
      <c r="L493" s="12"/>
      <c r="M493" s="11"/>
      <c r="N493" s="11"/>
      <c r="O493" s="11"/>
      <c r="P493" s="11"/>
    </row>
    <row r="494" spans="1:16" x14ac:dyDescent="0.25">
      <c r="A494" s="696">
        <v>56214</v>
      </c>
      <c r="B494" s="696">
        <v>1534</v>
      </c>
      <c r="C494" s="696">
        <v>400</v>
      </c>
      <c r="D494" s="696">
        <v>2700</v>
      </c>
      <c r="F494" s="700" t="s">
        <v>1285</v>
      </c>
      <c r="G494" s="701">
        <v>20.43</v>
      </c>
      <c r="H494" s="12" t="s">
        <v>997</v>
      </c>
      <c r="I494" s="12" t="s">
        <v>913</v>
      </c>
      <c r="J494" s="12" t="s">
        <v>934</v>
      </c>
      <c r="K494" s="12" t="s">
        <v>895</v>
      </c>
      <c r="L494" s="12"/>
      <c r="M494" s="11"/>
      <c r="N494" s="11"/>
      <c r="O494" s="11"/>
      <c r="P494" s="11"/>
    </row>
    <row r="495" spans="1:16" x14ac:dyDescent="0.25">
      <c r="A495" s="696">
        <v>56214</v>
      </c>
      <c r="B495" s="696">
        <v>1536</v>
      </c>
      <c r="C495" s="696">
        <v>100</v>
      </c>
      <c r="D495" s="696">
        <v>2500</v>
      </c>
      <c r="F495" s="700" t="s">
        <v>1285</v>
      </c>
      <c r="G495" s="701">
        <v>194.93</v>
      </c>
      <c r="H495" s="12" t="s">
        <v>997</v>
      </c>
      <c r="I495" s="12" t="s">
        <v>893</v>
      </c>
      <c r="J495" s="12" t="s">
        <v>926</v>
      </c>
      <c r="K495" s="12" t="s">
        <v>895</v>
      </c>
      <c r="L495" s="12"/>
      <c r="M495" s="11"/>
      <c r="N495" s="11"/>
      <c r="O495" s="11"/>
      <c r="P495" s="11"/>
    </row>
    <row r="496" spans="1:16" x14ac:dyDescent="0.25">
      <c r="A496" s="696">
        <v>56214</v>
      </c>
      <c r="B496" s="696">
        <v>1756</v>
      </c>
      <c r="C496" s="696">
        <v>615</v>
      </c>
      <c r="D496" s="696">
        <v>1000</v>
      </c>
      <c r="F496" s="700" t="s">
        <v>1285</v>
      </c>
      <c r="G496" s="701">
        <v>6.47</v>
      </c>
      <c r="H496" s="12" t="s">
        <v>997</v>
      </c>
      <c r="I496" s="12" t="s">
        <v>937</v>
      </c>
      <c r="J496" s="12" t="s">
        <v>894</v>
      </c>
      <c r="K496" s="12" t="s">
        <v>895</v>
      </c>
      <c r="L496" s="12"/>
      <c r="M496" s="11"/>
      <c r="N496" s="11"/>
      <c r="O496" s="11"/>
      <c r="P496" s="11"/>
    </row>
    <row r="497" spans="1:16" x14ac:dyDescent="0.25">
      <c r="A497" s="696">
        <v>56214</v>
      </c>
      <c r="B497" s="696">
        <v>1766</v>
      </c>
      <c r="C497" s="696">
        <v>615</v>
      </c>
      <c r="D497" s="696">
        <v>1000</v>
      </c>
      <c r="F497" s="700" t="s">
        <v>1285</v>
      </c>
      <c r="G497" s="701">
        <v>3.68</v>
      </c>
      <c r="H497" s="12" t="s">
        <v>997</v>
      </c>
      <c r="I497" s="12" t="s">
        <v>937</v>
      </c>
      <c r="J497" s="12" t="s">
        <v>894</v>
      </c>
      <c r="K497" s="12" t="s">
        <v>895</v>
      </c>
      <c r="L497" s="12"/>
      <c r="M497" s="11"/>
      <c r="N497" s="11"/>
      <c r="O497" s="11"/>
      <c r="P497" s="11"/>
    </row>
    <row r="498" spans="1:16" x14ac:dyDescent="0.25">
      <c r="A498" s="696">
        <v>56214</v>
      </c>
      <c r="B498" s="696">
        <v>1769</v>
      </c>
      <c r="C498" s="696">
        <v>615</v>
      </c>
      <c r="D498" s="696">
        <v>1000</v>
      </c>
      <c r="F498" s="700" t="s">
        <v>1285</v>
      </c>
      <c r="G498" s="701">
        <v>3.98</v>
      </c>
      <c r="H498" s="12" t="s">
        <v>997</v>
      </c>
      <c r="I498" s="12" t="s">
        <v>937</v>
      </c>
      <c r="J498" s="12" t="s">
        <v>894</v>
      </c>
      <c r="K498" s="12" t="s">
        <v>895</v>
      </c>
      <c r="L498" s="12"/>
      <c r="M498" s="11"/>
      <c r="N498" s="11"/>
      <c r="O498" s="11"/>
      <c r="P498" s="11"/>
    </row>
    <row r="499" spans="1:16" x14ac:dyDescent="0.25">
      <c r="A499" s="696">
        <v>56214</v>
      </c>
      <c r="B499" s="696">
        <v>1772</v>
      </c>
      <c r="C499" s="696">
        <v>615</v>
      </c>
      <c r="D499" s="696">
        <v>1000</v>
      </c>
      <c r="F499" s="700" t="s">
        <v>1285</v>
      </c>
      <c r="G499" s="701">
        <v>7.78</v>
      </c>
      <c r="H499" s="12" t="s">
        <v>997</v>
      </c>
      <c r="I499" s="12" t="s">
        <v>937</v>
      </c>
      <c r="J499" s="12" t="s">
        <v>894</v>
      </c>
      <c r="K499" s="12" t="s">
        <v>895</v>
      </c>
      <c r="L499" s="12"/>
      <c r="M499" s="11"/>
      <c r="N499" s="11"/>
      <c r="O499" s="11"/>
      <c r="P499" s="11"/>
    </row>
    <row r="500" spans="1:16" x14ac:dyDescent="0.25">
      <c r="A500" s="696">
        <v>56214</v>
      </c>
      <c r="B500" s="696">
        <v>1774</v>
      </c>
      <c r="C500" s="696">
        <v>615</v>
      </c>
      <c r="D500" s="696">
        <v>1000</v>
      </c>
      <c r="F500" s="700" t="s">
        <v>1285</v>
      </c>
      <c r="G500" s="701">
        <v>8.44</v>
      </c>
      <c r="H500" s="12" t="s">
        <v>997</v>
      </c>
      <c r="I500" s="12" t="s">
        <v>937</v>
      </c>
      <c r="J500" s="12" t="s">
        <v>894</v>
      </c>
      <c r="K500" s="12" t="s">
        <v>895</v>
      </c>
      <c r="L500" s="12"/>
      <c r="M500" s="11"/>
      <c r="N500" s="11"/>
      <c r="O500" s="11"/>
      <c r="P500" s="11"/>
    </row>
    <row r="501" spans="1:16" x14ac:dyDescent="0.25">
      <c r="A501" s="696">
        <v>56214</v>
      </c>
      <c r="B501" s="696">
        <v>1782</v>
      </c>
      <c r="C501" s="696">
        <v>615</v>
      </c>
      <c r="D501" s="696">
        <v>1000</v>
      </c>
      <c r="F501" s="700" t="s">
        <v>1285</v>
      </c>
      <c r="G501" s="701">
        <v>3.58</v>
      </c>
      <c r="H501" s="12" t="s">
        <v>997</v>
      </c>
      <c r="I501" s="12" t="s">
        <v>937</v>
      </c>
      <c r="J501" s="12" t="s">
        <v>894</v>
      </c>
      <c r="K501" s="12" t="s">
        <v>895</v>
      </c>
      <c r="L501" s="12"/>
      <c r="M501" s="11"/>
      <c r="N501" s="11"/>
      <c r="O501" s="11"/>
      <c r="P501" s="11"/>
    </row>
    <row r="502" spans="1:16" x14ac:dyDescent="0.25">
      <c r="A502" s="696">
        <v>56214</v>
      </c>
      <c r="B502" s="696">
        <v>1784</v>
      </c>
      <c r="C502" s="696">
        <v>615</v>
      </c>
      <c r="D502" s="696">
        <v>1000</v>
      </c>
      <c r="F502" s="700" t="s">
        <v>1285</v>
      </c>
      <c r="G502" s="701">
        <v>1.52</v>
      </c>
      <c r="H502" s="12" t="s">
        <v>997</v>
      </c>
      <c r="I502" s="12" t="s">
        <v>937</v>
      </c>
      <c r="J502" s="12" t="s">
        <v>894</v>
      </c>
      <c r="K502" s="12" t="s">
        <v>895</v>
      </c>
      <c r="L502" s="12"/>
      <c r="M502" s="11"/>
      <c r="N502" s="11"/>
      <c r="O502" s="11"/>
      <c r="P502" s="11"/>
    </row>
    <row r="503" spans="1:16" x14ac:dyDescent="0.25">
      <c r="A503" s="696">
        <v>56214</v>
      </c>
      <c r="B503" s="696">
        <v>1785</v>
      </c>
      <c r="C503" s="696">
        <v>615</v>
      </c>
      <c r="D503" s="696">
        <v>1000</v>
      </c>
      <c r="F503" s="700" t="s">
        <v>1285</v>
      </c>
      <c r="G503" s="701">
        <v>4.3099999999999996</v>
      </c>
      <c r="H503" s="12" t="s">
        <v>997</v>
      </c>
      <c r="I503" s="12" t="s">
        <v>937</v>
      </c>
      <c r="J503" s="12" t="s">
        <v>894</v>
      </c>
      <c r="K503" s="12" t="s">
        <v>895</v>
      </c>
      <c r="L503" s="12"/>
      <c r="M503" s="11"/>
      <c r="N503" s="11"/>
      <c r="O503" s="11"/>
      <c r="P503" s="11"/>
    </row>
    <row r="504" spans="1:16" x14ac:dyDescent="0.25">
      <c r="A504" s="696">
        <v>56214</v>
      </c>
      <c r="B504" s="696">
        <v>1795</v>
      </c>
      <c r="C504" s="696">
        <v>615</v>
      </c>
      <c r="D504" s="696">
        <v>1000</v>
      </c>
      <c r="F504" s="700" t="s">
        <v>1285</v>
      </c>
      <c r="G504" s="701">
        <v>0.13</v>
      </c>
      <c r="H504" s="12" t="s">
        <v>997</v>
      </c>
      <c r="I504" s="12" t="s">
        <v>937</v>
      </c>
      <c r="J504" s="12" t="s">
        <v>894</v>
      </c>
      <c r="K504" s="12" t="s">
        <v>895</v>
      </c>
      <c r="L504" s="12"/>
      <c r="M504" s="11"/>
      <c r="N504" s="11"/>
      <c r="O504" s="11"/>
      <c r="P504" s="11"/>
    </row>
    <row r="505" spans="1:16" x14ac:dyDescent="0.25">
      <c r="A505" s="696">
        <v>56214</v>
      </c>
      <c r="B505" s="696">
        <v>1801</v>
      </c>
      <c r="C505" s="696">
        <v>615</v>
      </c>
      <c r="D505" s="696">
        <v>1000</v>
      </c>
      <c r="F505" s="700" t="s">
        <v>1285</v>
      </c>
      <c r="G505" s="701">
        <v>2.13</v>
      </c>
      <c r="H505" s="12" t="s">
        <v>997</v>
      </c>
      <c r="I505" s="12" t="s">
        <v>937</v>
      </c>
      <c r="J505" s="12" t="s">
        <v>894</v>
      </c>
      <c r="K505" s="12" t="s">
        <v>895</v>
      </c>
      <c r="L505" s="12"/>
      <c r="M505" s="11"/>
      <c r="N505" s="11"/>
      <c r="O505" s="11"/>
      <c r="P505" s="11"/>
    </row>
    <row r="506" spans="1:16" x14ac:dyDescent="0.25">
      <c r="A506" s="696">
        <v>56214</v>
      </c>
      <c r="B506" s="696">
        <v>1802</v>
      </c>
      <c r="C506" s="696">
        <v>615</v>
      </c>
      <c r="D506" s="696">
        <v>1000</v>
      </c>
      <c r="F506" s="700" t="s">
        <v>1285</v>
      </c>
      <c r="G506" s="701">
        <v>1.46</v>
      </c>
      <c r="H506" s="12" t="s">
        <v>997</v>
      </c>
      <c r="I506" s="12" t="s">
        <v>937</v>
      </c>
      <c r="J506" s="12" t="s">
        <v>894</v>
      </c>
      <c r="K506" s="12" t="s">
        <v>895</v>
      </c>
      <c r="L506" s="12"/>
      <c r="M506" s="11"/>
      <c r="N506" s="11"/>
      <c r="O506" s="11"/>
      <c r="P506" s="11"/>
    </row>
    <row r="507" spans="1:16" x14ac:dyDescent="0.25">
      <c r="A507" s="696">
        <v>56214</v>
      </c>
      <c r="B507" s="696">
        <v>1805</v>
      </c>
      <c r="C507" s="696">
        <v>615</v>
      </c>
      <c r="D507" s="696">
        <v>1000</v>
      </c>
      <c r="F507" s="700" t="s">
        <v>1285</v>
      </c>
      <c r="G507" s="701">
        <v>2.13</v>
      </c>
      <c r="H507" s="12" t="s">
        <v>997</v>
      </c>
      <c r="I507" s="12" t="s">
        <v>937</v>
      </c>
      <c r="J507" s="12" t="s">
        <v>894</v>
      </c>
      <c r="K507" s="12" t="s">
        <v>895</v>
      </c>
      <c r="L507" s="12"/>
      <c r="M507" s="11"/>
      <c r="N507" s="11"/>
      <c r="O507" s="11"/>
      <c r="P507" s="11"/>
    </row>
    <row r="508" spans="1:16" x14ac:dyDescent="0.25">
      <c r="A508" s="696">
        <v>56214</v>
      </c>
      <c r="B508" s="696">
        <v>1808</v>
      </c>
      <c r="C508" s="696">
        <v>615</v>
      </c>
      <c r="D508" s="696">
        <v>1000</v>
      </c>
      <c r="F508" s="700" t="s">
        <v>1285</v>
      </c>
      <c r="G508" s="701">
        <v>4.3099999999999996</v>
      </c>
      <c r="H508" s="12" t="s">
        <v>997</v>
      </c>
      <c r="I508" s="12" t="s">
        <v>937</v>
      </c>
      <c r="J508" s="12" t="s">
        <v>894</v>
      </c>
      <c r="K508" s="12" t="s">
        <v>895</v>
      </c>
      <c r="L508" s="12"/>
      <c r="M508" s="11"/>
      <c r="N508" s="11"/>
      <c r="O508" s="11"/>
      <c r="P508" s="11"/>
    </row>
    <row r="509" spans="1:16" x14ac:dyDescent="0.25">
      <c r="A509" s="696">
        <v>56214</v>
      </c>
      <c r="B509" s="696">
        <v>1810</v>
      </c>
      <c r="C509" s="696">
        <v>615</v>
      </c>
      <c r="D509" s="696">
        <v>1000</v>
      </c>
      <c r="F509" s="700" t="s">
        <v>1285</v>
      </c>
      <c r="G509" s="701">
        <v>8.57</v>
      </c>
      <c r="H509" s="12" t="s">
        <v>997</v>
      </c>
      <c r="I509" s="12" t="s">
        <v>937</v>
      </c>
      <c r="J509" s="12" t="s">
        <v>894</v>
      </c>
      <c r="K509" s="12" t="s">
        <v>895</v>
      </c>
      <c r="L509" s="12"/>
      <c r="M509" s="11"/>
      <c r="N509" s="11"/>
      <c r="O509" s="11"/>
      <c r="P509" s="11"/>
    </row>
    <row r="510" spans="1:16" x14ac:dyDescent="0.25">
      <c r="A510" s="696">
        <v>56214</v>
      </c>
      <c r="B510" s="696">
        <v>1812</v>
      </c>
      <c r="C510" s="696">
        <v>615</v>
      </c>
      <c r="D510" s="696">
        <v>1000</v>
      </c>
      <c r="F510" s="700" t="s">
        <v>1285</v>
      </c>
      <c r="G510" s="701">
        <v>10.55</v>
      </c>
      <c r="H510" s="12" t="s">
        <v>997</v>
      </c>
      <c r="I510" s="12" t="s">
        <v>937</v>
      </c>
      <c r="J510" s="12" t="s">
        <v>894</v>
      </c>
      <c r="K510" s="12" t="s">
        <v>895</v>
      </c>
      <c r="L510" s="12"/>
      <c r="M510" s="11"/>
      <c r="N510" s="11"/>
      <c r="O510" s="11"/>
      <c r="P510" s="11"/>
    </row>
    <row r="511" spans="1:16" x14ac:dyDescent="0.25">
      <c r="A511" s="696">
        <v>56214</v>
      </c>
      <c r="B511" s="696">
        <v>1817</v>
      </c>
      <c r="C511" s="696">
        <v>615</v>
      </c>
      <c r="D511" s="696">
        <v>1000</v>
      </c>
      <c r="F511" s="700" t="s">
        <v>1285</v>
      </c>
      <c r="G511" s="701">
        <v>1.45</v>
      </c>
      <c r="H511" s="12" t="s">
        <v>997</v>
      </c>
      <c r="I511" s="12" t="s">
        <v>937</v>
      </c>
      <c r="J511" s="12" t="s">
        <v>894</v>
      </c>
      <c r="K511" s="12" t="s">
        <v>895</v>
      </c>
      <c r="L511" s="12"/>
      <c r="M511" s="11"/>
      <c r="N511" s="11"/>
      <c r="O511" s="11"/>
      <c r="P511" s="11"/>
    </row>
    <row r="512" spans="1:16" x14ac:dyDescent="0.25">
      <c r="A512" s="696">
        <v>56214</v>
      </c>
      <c r="B512" s="696">
        <v>1818</v>
      </c>
      <c r="C512" s="696">
        <v>615</v>
      </c>
      <c r="D512" s="696">
        <v>1000</v>
      </c>
      <c r="F512" s="700" t="s">
        <v>1285</v>
      </c>
      <c r="G512" s="701">
        <v>2.12</v>
      </c>
      <c r="H512" s="12" t="s">
        <v>997</v>
      </c>
      <c r="I512" s="12" t="s">
        <v>937</v>
      </c>
      <c r="J512" s="12" t="s">
        <v>894</v>
      </c>
      <c r="K512" s="12" t="s">
        <v>895</v>
      </c>
      <c r="L512" s="12"/>
      <c r="M512" s="11"/>
      <c r="N512" s="11"/>
      <c r="O512" s="11"/>
      <c r="P512" s="11"/>
    </row>
    <row r="513" spans="1:16" x14ac:dyDescent="0.25">
      <c r="A513" s="696">
        <v>56214</v>
      </c>
      <c r="B513" s="696">
        <v>1823</v>
      </c>
      <c r="C513" s="696">
        <v>615</v>
      </c>
      <c r="D513" s="696">
        <v>1000</v>
      </c>
      <c r="F513" s="700" t="s">
        <v>1285</v>
      </c>
      <c r="G513" s="701">
        <v>2.15</v>
      </c>
      <c r="H513" s="12" t="s">
        <v>997</v>
      </c>
      <c r="I513" s="12" t="s">
        <v>937</v>
      </c>
      <c r="J513" s="12" t="s">
        <v>894</v>
      </c>
      <c r="K513" s="12" t="s">
        <v>895</v>
      </c>
      <c r="L513" s="12"/>
      <c r="M513" s="11"/>
      <c r="N513" s="11"/>
      <c r="O513" s="11"/>
      <c r="P513" s="11"/>
    </row>
    <row r="514" spans="1:16" x14ac:dyDescent="0.25">
      <c r="A514" s="696">
        <v>56214</v>
      </c>
      <c r="B514" s="696">
        <v>1833</v>
      </c>
      <c r="C514" s="696">
        <v>615</v>
      </c>
      <c r="D514" s="696">
        <v>1000</v>
      </c>
      <c r="F514" s="700" t="s">
        <v>1285</v>
      </c>
      <c r="G514" s="701">
        <v>10.72</v>
      </c>
      <c r="H514" s="12" t="s">
        <v>997</v>
      </c>
      <c r="I514" s="12" t="s">
        <v>937</v>
      </c>
      <c r="J514" s="12" t="s">
        <v>894</v>
      </c>
      <c r="K514" s="12" t="s">
        <v>895</v>
      </c>
      <c r="L514" s="12"/>
      <c r="M514" s="11"/>
      <c r="N514" s="11"/>
      <c r="O514" s="11"/>
      <c r="P514" s="11"/>
    </row>
    <row r="515" spans="1:16" x14ac:dyDescent="0.25">
      <c r="A515" s="696">
        <v>56214</v>
      </c>
      <c r="B515" s="696">
        <v>1834</v>
      </c>
      <c r="C515" s="696">
        <v>615</v>
      </c>
      <c r="D515" s="696">
        <v>1000</v>
      </c>
      <c r="F515" s="700" t="s">
        <v>1285</v>
      </c>
      <c r="G515" s="701">
        <v>2.34</v>
      </c>
      <c r="H515" s="12" t="s">
        <v>997</v>
      </c>
      <c r="I515" s="12" t="s">
        <v>937</v>
      </c>
      <c r="J515" s="12" t="s">
        <v>894</v>
      </c>
      <c r="K515" s="12" t="s">
        <v>895</v>
      </c>
      <c r="L515" s="12"/>
      <c r="M515" s="11"/>
      <c r="N515" s="11"/>
      <c r="O515" s="11"/>
      <c r="P515" s="11"/>
    </row>
    <row r="516" spans="1:16" x14ac:dyDescent="0.25">
      <c r="A516" s="696">
        <v>56214</v>
      </c>
      <c r="B516" s="696">
        <v>1835</v>
      </c>
      <c r="C516" s="696">
        <v>615</v>
      </c>
      <c r="D516" s="696">
        <v>1000</v>
      </c>
      <c r="F516" s="700" t="s">
        <v>1285</v>
      </c>
      <c r="G516" s="701">
        <v>2.15</v>
      </c>
      <c r="H516" s="12" t="s">
        <v>997</v>
      </c>
      <c r="I516" s="12" t="s">
        <v>937</v>
      </c>
      <c r="J516" s="12" t="s">
        <v>894</v>
      </c>
      <c r="K516" s="12" t="s">
        <v>895</v>
      </c>
      <c r="L516" s="12"/>
      <c r="M516" s="11"/>
      <c r="N516" s="11"/>
      <c r="O516" s="11"/>
      <c r="P516" s="11"/>
    </row>
    <row r="517" spans="1:16" x14ac:dyDescent="0.25">
      <c r="A517" s="696">
        <v>56214</v>
      </c>
      <c r="B517" s="696">
        <v>1836</v>
      </c>
      <c r="C517" s="696">
        <v>615</v>
      </c>
      <c r="D517" s="696">
        <v>1000</v>
      </c>
      <c r="F517" s="700" t="s">
        <v>1285</v>
      </c>
      <c r="G517" s="701">
        <v>2.33</v>
      </c>
      <c r="H517" s="12" t="s">
        <v>997</v>
      </c>
      <c r="I517" s="12" t="s">
        <v>937</v>
      </c>
      <c r="J517" s="12" t="s">
        <v>894</v>
      </c>
      <c r="K517" s="12" t="s">
        <v>895</v>
      </c>
      <c r="L517" s="12"/>
      <c r="M517" s="11"/>
      <c r="N517" s="11"/>
      <c r="O517" s="11"/>
      <c r="P517" s="11"/>
    </row>
    <row r="518" spans="1:16" x14ac:dyDescent="0.25">
      <c r="A518" s="696">
        <v>56214</v>
      </c>
      <c r="B518" s="696">
        <v>1844</v>
      </c>
      <c r="C518" s="696">
        <v>615</v>
      </c>
      <c r="D518" s="696">
        <v>1000</v>
      </c>
      <c r="F518" s="700" t="s">
        <v>1285</v>
      </c>
      <c r="G518" s="701">
        <v>2.16</v>
      </c>
      <c r="H518" s="12" t="s">
        <v>997</v>
      </c>
      <c r="I518" s="12" t="s">
        <v>937</v>
      </c>
      <c r="J518" s="12" t="s">
        <v>894</v>
      </c>
      <c r="K518" s="12" t="s">
        <v>895</v>
      </c>
      <c r="L518" s="12"/>
      <c r="M518" s="11"/>
      <c r="N518" s="11"/>
      <c r="O518" s="11"/>
      <c r="P518" s="11"/>
    </row>
    <row r="519" spans="1:16" x14ac:dyDescent="0.25">
      <c r="A519" s="696">
        <v>56214</v>
      </c>
      <c r="B519" s="696">
        <v>1853</v>
      </c>
      <c r="C519" s="696">
        <v>615</v>
      </c>
      <c r="D519" s="696">
        <v>1000</v>
      </c>
      <c r="F519" s="700" t="s">
        <v>1285</v>
      </c>
      <c r="G519" s="701">
        <v>4.3099999999999996</v>
      </c>
      <c r="H519" s="12" t="s">
        <v>997</v>
      </c>
      <c r="I519" s="12" t="s">
        <v>937</v>
      </c>
      <c r="J519" s="12" t="s">
        <v>894</v>
      </c>
      <c r="K519" s="12" t="s">
        <v>895</v>
      </c>
      <c r="L519" s="12"/>
      <c r="M519" s="11"/>
      <c r="N519" s="11"/>
      <c r="O519" s="11"/>
      <c r="P519" s="11"/>
    </row>
    <row r="520" spans="1:16" x14ac:dyDescent="0.25">
      <c r="A520" s="696">
        <v>56214</v>
      </c>
      <c r="B520" s="696">
        <v>1859</v>
      </c>
      <c r="C520" s="696">
        <v>615</v>
      </c>
      <c r="D520" s="696">
        <v>1000</v>
      </c>
      <c r="F520" s="700" t="s">
        <v>1285</v>
      </c>
      <c r="G520" s="701">
        <v>2.14</v>
      </c>
      <c r="H520" s="12" t="s">
        <v>997</v>
      </c>
      <c r="I520" s="12" t="s">
        <v>937</v>
      </c>
      <c r="J520" s="12" t="s">
        <v>894</v>
      </c>
      <c r="K520" s="12" t="s">
        <v>895</v>
      </c>
      <c r="L520" s="12"/>
      <c r="M520" s="11"/>
      <c r="N520" s="11"/>
      <c r="O520" s="11"/>
      <c r="P520" s="11"/>
    </row>
    <row r="521" spans="1:16" x14ac:dyDescent="0.25">
      <c r="A521" s="696">
        <v>56214</v>
      </c>
      <c r="B521" s="696">
        <v>1867</v>
      </c>
      <c r="C521" s="696">
        <v>615</v>
      </c>
      <c r="D521" s="696">
        <v>1000</v>
      </c>
      <c r="F521" s="700" t="s">
        <v>1285</v>
      </c>
      <c r="G521" s="701">
        <v>3.31</v>
      </c>
      <c r="H521" s="12" t="s">
        <v>997</v>
      </c>
      <c r="I521" s="12" t="s">
        <v>937</v>
      </c>
      <c r="J521" s="12" t="s">
        <v>894</v>
      </c>
      <c r="K521" s="12" t="s">
        <v>895</v>
      </c>
      <c r="L521" s="12"/>
      <c r="M521" s="11"/>
      <c r="N521" s="11"/>
      <c r="O521" s="11"/>
      <c r="P521" s="11"/>
    </row>
    <row r="522" spans="1:16" x14ac:dyDescent="0.25">
      <c r="A522" s="696">
        <v>56214</v>
      </c>
      <c r="B522" s="696">
        <v>1910</v>
      </c>
      <c r="C522" s="696">
        <v>615</v>
      </c>
      <c r="D522" s="696">
        <v>1000</v>
      </c>
      <c r="F522" s="700" t="s">
        <v>1285</v>
      </c>
      <c r="G522" s="701">
        <v>2.13</v>
      </c>
      <c r="H522" s="12" t="s">
        <v>997</v>
      </c>
      <c r="I522" s="12" t="s">
        <v>937</v>
      </c>
      <c r="J522" s="12" t="s">
        <v>894</v>
      </c>
      <c r="K522" s="12" t="s">
        <v>895</v>
      </c>
      <c r="L522" s="12"/>
      <c r="M522" s="11"/>
      <c r="N522" s="11"/>
      <c r="O522" s="11"/>
      <c r="P522" s="11"/>
    </row>
    <row r="523" spans="1:16" x14ac:dyDescent="0.25">
      <c r="A523" s="696">
        <v>56221</v>
      </c>
      <c r="B523" s="696">
        <v>1000</v>
      </c>
      <c r="C523" s="696">
        <v>100</v>
      </c>
      <c r="D523" s="696">
        <v>1000</v>
      </c>
      <c r="F523" s="700" t="s">
        <v>1286</v>
      </c>
      <c r="G523" s="701">
        <v>296027.86</v>
      </c>
      <c r="H523" s="12" t="s">
        <v>889</v>
      </c>
      <c r="I523" s="12" t="s">
        <v>893</v>
      </c>
      <c r="J523" s="12" t="s">
        <v>894</v>
      </c>
      <c r="K523" s="12" t="s">
        <v>895</v>
      </c>
      <c r="L523" s="12"/>
      <c r="M523" s="11"/>
      <c r="N523" s="11"/>
      <c r="O523" s="11"/>
      <c r="P523" s="11"/>
    </row>
    <row r="524" spans="1:16" x14ac:dyDescent="0.25">
      <c r="A524" s="696">
        <v>56221</v>
      </c>
      <c r="B524" s="696">
        <v>1000</v>
      </c>
      <c r="C524" s="696">
        <v>100</v>
      </c>
      <c r="D524" s="696">
        <v>2100</v>
      </c>
      <c r="F524" s="700" t="s">
        <v>1286</v>
      </c>
      <c r="G524" s="701">
        <v>204993.65</v>
      </c>
      <c r="H524" s="12" t="s">
        <v>889</v>
      </c>
      <c r="I524" s="12" t="s">
        <v>893</v>
      </c>
      <c r="J524" s="12" t="s">
        <v>902</v>
      </c>
      <c r="K524" s="12" t="s">
        <v>895</v>
      </c>
      <c r="L524" s="12"/>
      <c r="M524" s="11"/>
      <c r="N524" s="11"/>
      <c r="O524" s="11"/>
      <c r="P524" s="11"/>
    </row>
    <row r="525" spans="1:16" x14ac:dyDescent="0.25">
      <c r="A525" s="696">
        <v>56221</v>
      </c>
      <c r="B525" s="696">
        <v>1000</v>
      </c>
      <c r="C525" s="696">
        <v>100</v>
      </c>
      <c r="D525" s="696">
        <v>2110</v>
      </c>
      <c r="F525" s="700" t="s">
        <v>1286</v>
      </c>
      <c r="G525" s="701">
        <v>4790.4399999999996</v>
      </c>
      <c r="H525" s="12" t="s">
        <v>889</v>
      </c>
      <c r="I525" s="12" t="s">
        <v>893</v>
      </c>
      <c r="J525" s="12" t="s">
        <v>902</v>
      </c>
      <c r="K525" s="12" t="s">
        <v>895</v>
      </c>
      <c r="L525" s="12"/>
      <c r="M525" s="11"/>
      <c r="N525" s="11"/>
      <c r="O525" s="11"/>
      <c r="P525" s="11"/>
    </row>
    <row r="526" spans="1:16" x14ac:dyDescent="0.25">
      <c r="A526" s="696">
        <v>56221</v>
      </c>
      <c r="B526" s="696">
        <v>1000</v>
      </c>
      <c r="C526" s="696">
        <v>100</v>
      </c>
      <c r="D526" s="696">
        <v>2200</v>
      </c>
      <c r="F526" s="700" t="s">
        <v>1286</v>
      </c>
      <c r="G526" s="701">
        <v>46593.11</v>
      </c>
      <c r="H526" s="12" t="s">
        <v>889</v>
      </c>
      <c r="I526" s="12" t="s">
        <v>893</v>
      </c>
      <c r="J526" s="12" t="s">
        <v>906</v>
      </c>
      <c r="K526" s="12" t="s">
        <v>895</v>
      </c>
      <c r="L526" s="12"/>
      <c r="M526" s="11"/>
      <c r="N526" s="11"/>
      <c r="O526" s="11"/>
      <c r="P526" s="11"/>
    </row>
    <row r="527" spans="1:16" x14ac:dyDescent="0.25">
      <c r="A527" s="696">
        <v>56221</v>
      </c>
      <c r="B527" s="696">
        <v>1000</v>
      </c>
      <c r="C527" s="696">
        <v>100</v>
      </c>
      <c r="D527" s="696">
        <v>2300</v>
      </c>
      <c r="F527" s="700" t="s">
        <v>1286</v>
      </c>
      <c r="G527" s="701">
        <v>15327.42</v>
      </c>
      <c r="H527" s="12" t="s">
        <v>889</v>
      </c>
      <c r="I527" s="12" t="s">
        <v>893</v>
      </c>
      <c r="J527" s="12" t="s">
        <v>918</v>
      </c>
      <c r="K527" s="12" t="s">
        <v>895</v>
      </c>
      <c r="L527" s="12"/>
      <c r="M527" s="11"/>
      <c r="N527" s="11"/>
      <c r="O527" s="11"/>
      <c r="P527" s="11"/>
    </row>
    <row r="528" spans="1:16" x14ac:dyDescent="0.25">
      <c r="A528" s="696">
        <v>56221</v>
      </c>
      <c r="B528" s="696">
        <v>1000</v>
      </c>
      <c r="C528" s="696">
        <v>100</v>
      </c>
      <c r="D528" s="696">
        <v>2310</v>
      </c>
      <c r="F528" s="700" t="s">
        <v>1286</v>
      </c>
      <c r="G528" s="701">
        <v>4815.8599999999997</v>
      </c>
      <c r="H528" s="12" t="s">
        <v>889</v>
      </c>
      <c r="I528" s="12" t="s">
        <v>893</v>
      </c>
      <c r="J528" s="12" t="s">
        <v>918</v>
      </c>
      <c r="K528" s="12" t="s">
        <v>895</v>
      </c>
      <c r="L528" s="12"/>
      <c r="M528" s="11"/>
      <c r="N528" s="11"/>
      <c r="O528" s="11"/>
      <c r="P528" s="11"/>
    </row>
    <row r="529" spans="1:16" x14ac:dyDescent="0.25">
      <c r="A529" s="696">
        <v>56221</v>
      </c>
      <c r="B529" s="696">
        <v>1000</v>
      </c>
      <c r="C529" s="696">
        <v>100</v>
      </c>
      <c r="D529" s="696">
        <v>2400</v>
      </c>
      <c r="F529" s="700" t="s">
        <v>1286</v>
      </c>
      <c r="G529" s="701">
        <v>54650.22</v>
      </c>
      <c r="H529" s="12" t="s">
        <v>889</v>
      </c>
      <c r="I529" s="12" t="s">
        <v>893</v>
      </c>
      <c r="J529" s="12" t="s">
        <v>922</v>
      </c>
      <c r="K529" s="12" t="s">
        <v>895</v>
      </c>
      <c r="L529" s="12"/>
      <c r="M529" s="11"/>
      <c r="N529" s="11"/>
      <c r="O529" s="11"/>
      <c r="P529" s="11"/>
    </row>
    <row r="530" spans="1:16" x14ac:dyDescent="0.25">
      <c r="A530" s="696">
        <v>56221</v>
      </c>
      <c r="B530" s="696">
        <v>1000</v>
      </c>
      <c r="C530" s="696">
        <v>100</v>
      </c>
      <c r="D530" s="696">
        <v>2410</v>
      </c>
      <c r="F530" s="700" t="s">
        <v>1286</v>
      </c>
      <c r="G530" s="701">
        <v>3418.84</v>
      </c>
      <c r="H530" s="12" t="s">
        <v>889</v>
      </c>
      <c r="I530" s="12" t="s">
        <v>893</v>
      </c>
      <c r="J530" s="12" t="s">
        <v>922</v>
      </c>
      <c r="K530" s="12" t="s">
        <v>895</v>
      </c>
      <c r="L530" s="12"/>
      <c r="M530" s="11"/>
      <c r="N530" s="11"/>
      <c r="O530" s="11"/>
      <c r="P530" s="11"/>
    </row>
    <row r="531" spans="1:16" x14ac:dyDescent="0.25">
      <c r="A531" s="696">
        <v>56221</v>
      </c>
      <c r="B531" s="696">
        <v>1000</v>
      </c>
      <c r="C531" s="696">
        <v>100</v>
      </c>
      <c r="D531" s="696">
        <v>2500</v>
      </c>
      <c r="F531" s="700" t="s">
        <v>1286</v>
      </c>
      <c r="G531" s="701">
        <v>197104.29</v>
      </c>
      <c r="H531" s="12" t="s">
        <v>889</v>
      </c>
      <c r="I531" s="12" t="s">
        <v>893</v>
      </c>
      <c r="J531" s="12" t="s">
        <v>926</v>
      </c>
      <c r="K531" s="12" t="s">
        <v>895</v>
      </c>
      <c r="L531" s="12"/>
      <c r="M531" s="11"/>
      <c r="N531" s="11"/>
      <c r="O531" s="11"/>
      <c r="P531" s="11"/>
    </row>
    <row r="532" spans="1:16" x14ac:dyDescent="0.25">
      <c r="A532" s="696">
        <v>56221</v>
      </c>
      <c r="B532" s="696">
        <v>1000</v>
      </c>
      <c r="C532" s="696">
        <v>100</v>
      </c>
      <c r="D532" s="696">
        <v>2510</v>
      </c>
      <c r="F532" s="700" t="s">
        <v>1286</v>
      </c>
      <c r="G532" s="701">
        <v>4894.66</v>
      </c>
      <c r="H532" s="12" t="s">
        <v>889</v>
      </c>
      <c r="I532" s="12" t="s">
        <v>893</v>
      </c>
      <c r="J532" s="12" t="s">
        <v>926</v>
      </c>
      <c r="K532" s="12" t="s">
        <v>895</v>
      </c>
      <c r="L532" s="12"/>
      <c r="M532" s="11"/>
      <c r="N532" s="11"/>
      <c r="O532" s="11"/>
      <c r="P532" s="11"/>
    </row>
    <row r="533" spans="1:16" x14ac:dyDescent="0.25">
      <c r="A533" s="696">
        <v>56221</v>
      </c>
      <c r="B533" s="696">
        <v>1000</v>
      </c>
      <c r="C533" s="696">
        <v>100</v>
      </c>
      <c r="D533" s="696">
        <v>2520</v>
      </c>
      <c r="F533" s="700" t="s">
        <v>1286</v>
      </c>
      <c r="G533" s="701">
        <v>3964.08</v>
      </c>
      <c r="H533" s="12" t="s">
        <v>889</v>
      </c>
      <c r="I533" s="12" t="s">
        <v>893</v>
      </c>
      <c r="J533" s="12" t="s">
        <v>926</v>
      </c>
      <c r="K533" s="12" t="s">
        <v>895</v>
      </c>
      <c r="L533" s="12"/>
      <c r="M533" s="11"/>
      <c r="N533" s="11"/>
      <c r="O533" s="11"/>
      <c r="P533" s="11"/>
    </row>
    <row r="534" spans="1:16" x14ac:dyDescent="0.25">
      <c r="A534" s="696">
        <v>56221</v>
      </c>
      <c r="B534" s="696">
        <v>1000</v>
      </c>
      <c r="C534" s="696">
        <v>100</v>
      </c>
      <c r="D534" s="696">
        <v>2600</v>
      </c>
      <c r="F534" s="700" t="s">
        <v>1286</v>
      </c>
      <c r="G534" s="701">
        <v>6030.04</v>
      </c>
      <c r="H534" s="12" t="s">
        <v>889</v>
      </c>
      <c r="I534" s="12" t="s">
        <v>893</v>
      </c>
      <c r="J534" s="12" t="s">
        <v>930</v>
      </c>
      <c r="K534" s="12" t="s">
        <v>895</v>
      </c>
      <c r="L534" s="12"/>
      <c r="M534" s="11"/>
      <c r="N534" s="11"/>
      <c r="O534" s="11"/>
      <c r="P534" s="11"/>
    </row>
    <row r="535" spans="1:16" x14ac:dyDescent="0.25">
      <c r="A535" s="696">
        <v>56221</v>
      </c>
      <c r="B535" s="696">
        <v>1000</v>
      </c>
      <c r="C535" s="696">
        <v>100</v>
      </c>
      <c r="D535" s="696">
        <v>2700</v>
      </c>
      <c r="F535" s="700" t="s">
        <v>1286</v>
      </c>
      <c r="G535" s="701">
        <v>4.66</v>
      </c>
      <c r="H535" s="12" t="s">
        <v>889</v>
      </c>
      <c r="I535" s="12" t="s">
        <v>913</v>
      </c>
      <c r="J535" s="12" t="s">
        <v>934</v>
      </c>
      <c r="K535" s="12" t="s">
        <v>895</v>
      </c>
      <c r="L535" s="12"/>
      <c r="M535" s="11"/>
      <c r="N535" s="11"/>
      <c r="O535" s="11"/>
      <c r="P535" s="11"/>
    </row>
    <row r="536" spans="1:16" x14ac:dyDescent="0.25">
      <c r="A536" s="696">
        <v>56221</v>
      </c>
      <c r="B536" s="696">
        <v>1000</v>
      </c>
      <c r="C536" s="696">
        <v>100</v>
      </c>
      <c r="D536" s="696">
        <v>3100</v>
      </c>
      <c r="F536" s="700" t="s">
        <v>1286</v>
      </c>
      <c r="G536" s="701">
        <v>21.78</v>
      </c>
      <c r="H536" s="12" t="s">
        <v>889</v>
      </c>
      <c r="I536" s="12" t="s">
        <v>893</v>
      </c>
      <c r="J536" s="12" t="s">
        <v>942</v>
      </c>
      <c r="K536" s="12" t="s">
        <v>895</v>
      </c>
      <c r="L536" s="12"/>
      <c r="M536" s="11"/>
      <c r="N536" s="11"/>
      <c r="O536" s="11"/>
      <c r="P536" s="11"/>
    </row>
    <row r="537" spans="1:16" x14ac:dyDescent="0.25">
      <c r="A537" s="696">
        <v>56221</v>
      </c>
      <c r="B537" s="696">
        <v>1000</v>
      </c>
      <c r="C537" s="696">
        <v>200</v>
      </c>
      <c r="D537" s="696">
        <v>1000</v>
      </c>
      <c r="F537" s="700" t="s">
        <v>1286</v>
      </c>
      <c r="G537" s="701">
        <v>39541.69</v>
      </c>
      <c r="H537" s="12" t="s">
        <v>889</v>
      </c>
      <c r="I537" s="12" t="s">
        <v>897</v>
      </c>
      <c r="J537" s="12" t="s">
        <v>894</v>
      </c>
      <c r="K537" s="12" t="s">
        <v>895</v>
      </c>
      <c r="L537" s="12"/>
      <c r="M537" s="11"/>
      <c r="N537" s="11"/>
      <c r="O537" s="11"/>
      <c r="P537" s="11"/>
    </row>
    <row r="538" spans="1:16" x14ac:dyDescent="0.25">
      <c r="A538" s="696">
        <v>56221</v>
      </c>
      <c r="B538" s="696">
        <v>1000</v>
      </c>
      <c r="C538" s="696">
        <v>200</v>
      </c>
      <c r="D538" s="696">
        <v>2100</v>
      </c>
      <c r="F538" s="700" t="s">
        <v>1286</v>
      </c>
      <c r="G538" s="701">
        <v>5279.44</v>
      </c>
      <c r="H538" s="12" t="s">
        <v>889</v>
      </c>
      <c r="I538" s="12" t="s">
        <v>897</v>
      </c>
      <c r="J538" s="12" t="s">
        <v>902</v>
      </c>
      <c r="K538" s="12" t="s">
        <v>895</v>
      </c>
      <c r="L538" s="12"/>
      <c r="M538" s="11"/>
      <c r="N538" s="11"/>
      <c r="O538" s="11"/>
      <c r="P538" s="11"/>
    </row>
    <row r="539" spans="1:16" x14ac:dyDescent="0.25">
      <c r="A539" s="696">
        <v>56221</v>
      </c>
      <c r="B539" s="696">
        <v>1000</v>
      </c>
      <c r="C539" s="696">
        <v>200</v>
      </c>
      <c r="D539" s="696">
        <v>2200</v>
      </c>
      <c r="F539" s="700" t="s">
        <v>1286</v>
      </c>
      <c r="G539" s="701">
        <v>3395.52</v>
      </c>
      <c r="H539" s="12" t="s">
        <v>889</v>
      </c>
      <c r="I539" s="12" t="s">
        <v>897</v>
      </c>
      <c r="J539" s="12" t="s">
        <v>906</v>
      </c>
      <c r="K539" s="12" t="s">
        <v>895</v>
      </c>
      <c r="L539" s="12"/>
      <c r="M539" s="11"/>
      <c r="N539" s="11"/>
      <c r="O539" s="11"/>
      <c r="P539" s="11"/>
    </row>
    <row r="540" spans="1:16" x14ac:dyDescent="0.25">
      <c r="A540" s="696">
        <v>56221</v>
      </c>
      <c r="B540" s="696">
        <v>1000</v>
      </c>
      <c r="C540" s="696">
        <v>200</v>
      </c>
      <c r="D540" s="696">
        <v>2500</v>
      </c>
      <c r="F540" s="700" t="s">
        <v>1286</v>
      </c>
      <c r="G540" s="701">
        <v>329.7</v>
      </c>
      <c r="H540" s="12" t="s">
        <v>889</v>
      </c>
      <c r="I540" s="12" t="s">
        <v>897</v>
      </c>
      <c r="J540" s="12" t="s">
        <v>926</v>
      </c>
      <c r="K540" s="12" t="s">
        <v>895</v>
      </c>
      <c r="L540" s="12"/>
      <c r="M540" s="11"/>
      <c r="N540" s="11"/>
      <c r="O540" s="11"/>
      <c r="P540" s="11"/>
    </row>
    <row r="541" spans="1:16" x14ac:dyDescent="0.25">
      <c r="A541" s="696">
        <v>56221</v>
      </c>
      <c r="B541" s="696">
        <v>1000</v>
      </c>
      <c r="C541" s="696">
        <v>240</v>
      </c>
      <c r="D541" s="696">
        <v>1000</v>
      </c>
      <c r="F541" s="700" t="s">
        <v>1286</v>
      </c>
      <c r="G541" s="701">
        <v>1744.36</v>
      </c>
      <c r="H541" s="12" t="s">
        <v>889</v>
      </c>
      <c r="I541" s="12" t="s">
        <v>897</v>
      </c>
      <c r="J541" s="12" t="s">
        <v>894</v>
      </c>
      <c r="K541" s="12" t="s">
        <v>895</v>
      </c>
      <c r="L541" s="12"/>
      <c r="M541" s="11"/>
      <c r="N541" s="11"/>
      <c r="O541" s="11"/>
      <c r="P541" s="11"/>
    </row>
    <row r="542" spans="1:16" x14ac:dyDescent="0.25">
      <c r="A542" s="696">
        <v>56221</v>
      </c>
      <c r="B542" s="696">
        <v>1000</v>
      </c>
      <c r="C542" s="696">
        <v>260</v>
      </c>
      <c r="D542" s="696">
        <v>1000</v>
      </c>
      <c r="F542" s="700" t="s">
        <v>1286</v>
      </c>
      <c r="G542" s="701">
        <v>3744.62</v>
      </c>
      <c r="H542" s="12" t="s">
        <v>896</v>
      </c>
      <c r="I542" s="12" t="s">
        <v>901</v>
      </c>
      <c r="J542" s="12" t="s">
        <v>894</v>
      </c>
      <c r="K542" s="12" t="s">
        <v>895</v>
      </c>
      <c r="L542" s="12"/>
      <c r="M542" s="11"/>
      <c r="N542" s="11"/>
      <c r="O542" s="11"/>
      <c r="P542" s="11"/>
    </row>
    <row r="543" spans="1:16" x14ac:dyDescent="0.25">
      <c r="A543" s="696">
        <v>56221</v>
      </c>
      <c r="B543" s="696">
        <v>1000</v>
      </c>
      <c r="C543" s="696">
        <v>400</v>
      </c>
      <c r="D543" s="696">
        <v>2700</v>
      </c>
      <c r="F543" s="700" t="s">
        <v>1286</v>
      </c>
      <c r="G543" s="701">
        <v>426.14</v>
      </c>
      <c r="H543" s="12" t="s">
        <v>889</v>
      </c>
      <c r="I543" s="12" t="s">
        <v>913</v>
      </c>
      <c r="J543" s="12" t="s">
        <v>934</v>
      </c>
      <c r="K543" s="12" t="s">
        <v>895</v>
      </c>
      <c r="L543" s="12"/>
      <c r="M543" s="11"/>
      <c r="N543" s="11"/>
      <c r="O543" s="11"/>
      <c r="P543" s="11"/>
    </row>
    <row r="544" spans="1:16" x14ac:dyDescent="0.25">
      <c r="A544" s="696">
        <v>56221</v>
      </c>
      <c r="B544" s="696">
        <v>1000</v>
      </c>
      <c r="C544" s="696">
        <v>550</v>
      </c>
      <c r="D544" s="696">
        <v>1000</v>
      </c>
      <c r="F544" s="700" t="s">
        <v>1286</v>
      </c>
      <c r="G544" s="701">
        <v>4840.46</v>
      </c>
      <c r="H544" s="12" t="s">
        <v>889</v>
      </c>
      <c r="I544" s="12" t="s">
        <v>933</v>
      </c>
      <c r="J544" s="12" t="s">
        <v>894</v>
      </c>
      <c r="K544" s="12" t="s">
        <v>895</v>
      </c>
      <c r="L544" s="12"/>
      <c r="M544" s="11"/>
      <c r="N544" s="11"/>
      <c r="O544" s="11"/>
      <c r="P544" s="11"/>
    </row>
    <row r="545" spans="1:16" x14ac:dyDescent="0.25">
      <c r="A545" s="696">
        <v>56221</v>
      </c>
      <c r="B545" s="696">
        <v>1000</v>
      </c>
      <c r="C545" s="696">
        <v>615</v>
      </c>
      <c r="D545" s="696">
        <v>1000</v>
      </c>
      <c r="F545" s="700" t="s">
        <v>1286</v>
      </c>
      <c r="G545" s="701">
        <v>213.44</v>
      </c>
      <c r="H545" s="12" t="s">
        <v>889</v>
      </c>
      <c r="I545" s="12" t="s">
        <v>937</v>
      </c>
      <c r="J545" s="12" t="s">
        <v>894</v>
      </c>
      <c r="K545" s="12" t="s">
        <v>895</v>
      </c>
      <c r="L545" s="12"/>
      <c r="M545" s="11"/>
      <c r="N545" s="11"/>
      <c r="O545" s="11"/>
      <c r="P545" s="11"/>
    </row>
    <row r="546" spans="1:16" x14ac:dyDescent="0.25">
      <c r="A546" s="696">
        <v>56221</v>
      </c>
      <c r="B546" s="696">
        <v>1012</v>
      </c>
      <c r="C546" s="696">
        <v>100</v>
      </c>
      <c r="D546" s="696">
        <v>1000</v>
      </c>
      <c r="F546" s="700" t="s">
        <v>1286</v>
      </c>
      <c r="G546" s="701">
        <v>150918.73000000001</v>
      </c>
      <c r="H546" s="12" t="s">
        <v>890</v>
      </c>
      <c r="I546" s="12" t="s">
        <v>893</v>
      </c>
      <c r="J546" s="12" t="s">
        <v>894</v>
      </c>
      <c r="K546" s="12" t="s">
        <v>895</v>
      </c>
      <c r="L546" s="12"/>
      <c r="M546" s="11"/>
      <c r="N546" s="11"/>
      <c r="O546" s="11"/>
      <c r="P546" s="11"/>
    </row>
    <row r="547" spans="1:16" x14ac:dyDescent="0.25">
      <c r="A547" s="696">
        <v>56221</v>
      </c>
      <c r="B547" s="696">
        <v>1012</v>
      </c>
      <c r="C547" s="696">
        <v>100</v>
      </c>
      <c r="D547" s="696">
        <v>2100</v>
      </c>
      <c r="F547" s="700" t="s">
        <v>1286</v>
      </c>
      <c r="G547" s="701">
        <v>15911.01</v>
      </c>
      <c r="H547" s="12" t="s">
        <v>890</v>
      </c>
      <c r="I547" s="12" t="s">
        <v>893</v>
      </c>
      <c r="J547" s="12" t="s">
        <v>902</v>
      </c>
      <c r="K547" s="12" t="s">
        <v>895</v>
      </c>
      <c r="L547" s="12"/>
      <c r="M547" s="11"/>
      <c r="N547" s="11"/>
      <c r="O547" s="11"/>
      <c r="P547" s="11"/>
    </row>
    <row r="548" spans="1:16" x14ac:dyDescent="0.25">
      <c r="A548" s="696">
        <v>56221</v>
      </c>
      <c r="B548" s="696">
        <v>1012</v>
      </c>
      <c r="C548" s="696">
        <v>100</v>
      </c>
      <c r="D548" s="696">
        <v>2200</v>
      </c>
      <c r="F548" s="700" t="s">
        <v>1286</v>
      </c>
      <c r="G548" s="701">
        <v>1120.96</v>
      </c>
      <c r="H548" s="12" t="s">
        <v>890</v>
      </c>
      <c r="I548" s="12" t="s">
        <v>893</v>
      </c>
      <c r="J548" s="12" t="s">
        <v>906</v>
      </c>
      <c r="K548" s="12" t="s">
        <v>895</v>
      </c>
      <c r="L548" s="12"/>
      <c r="M548" s="11"/>
      <c r="N548" s="11"/>
      <c r="O548" s="11"/>
      <c r="P548" s="11"/>
    </row>
    <row r="549" spans="1:16" x14ac:dyDescent="0.25">
      <c r="A549" s="696">
        <v>56221</v>
      </c>
      <c r="B549" s="696">
        <v>1012</v>
      </c>
      <c r="C549" s="696">
        <v>200</v>
      </c>
      <c r="D549" s="696">
        <v>1000</v>
      </c>
      <c r="F549" s="700" t="s">
        <v>1286</v>
      </c>
      <c r="G549" s="701">
        <v>3295.92</v>
      </c>
      <c r="H549" s="12" t="s">
        <v>890</v>
      </c>
      <c r="I549" s="12" t="s">
        <v>897</v>
      </c>
      <c r="J549" s="12" t="s">
        <v>894</v>
      </c>
      <c r="K549" s="12" t="s">
        <v>895</v>
      </c>
      <c r="L549" s="12"/>
      <c r="M549" s="11"/>
      <c r="N549" s="11"/>
      <c r="O549" s="11"/>
      <c r="P549" s="11"/>
    </row>
    <row r="550" spans="1:16" x14ac:dyDescent="0.25">
      <c r="A550" s="696">
        <v>56221</v>
      </c>
      <c r="B550" s="696">
        <v>1012</v>
      </c>
      <c r="C550" s="696">
        <v>200</v>
      </c>
      <c r="D550" s="696">
        <v>2100</v>
      </c>
      <c r="F550" s="700" t="s">
        <v>1286</v>
      </c>
      <c r="G550" s="701">
        <v>1878.29</v>
      </c>
      <c r="H550" s="12" t="s">
        <v>890</v>
      </c>
      <c r="I550" s="12" t="s">
        <v>897</v>
      </c>
      <c r="J550" s="12" t="s">
        <v>902</v>
      </c>
      <c r="K550" s="12" t="s">
        <v>895</v>
      </c>
      <c r="L550" s="12"/>
      <c r="M550" s="11"/>
      <c r="N550" s="11"/>
      <c r="O550" s="11"/>
      <c r="P550" s="11"/>
    </row>
    <row r="551" spans="1:16" x14ac:dyDescent="0.25">
      <c r="A551" s="696">
        <v>56221</v>
      </c>
      <c r="B551" s="696">
        <v>1012</v>
      </c>
      <c r="C551" s="696">
        <v>260</v>
      </c>
      <c r="D551" s="696">
        <v>1000</v>
      </c>
      <c r="F551" s="700" t="s">
        <v>1286</v>
      </c>
      <c r="G551" s="701">
        <v>299.45999999999998</v>
      </c>
      <c r="H551" s="12" t="s">
        <v>890</v>
      </c>
      <c r="I551" s="12" t="s">
        <v>901</v>
      </c>
      <c r="J551" s="12" t="s">
        <v>894</v>
      </c>
      <c r="K551" s="12" t="s">
        <v>895</v>
      </c>
      <c r="L551" s="12"/>
      <c r="M551" s="11"/>
      <c r="N551" s="11"/>
      <c r="O551" s="11"/>
      <c r="P551" s="11"/>
    </row>
    <row r="552" spans="1:16" x14ac:dyDescent="0.25">
      <c r="A552" s="696">
        <v>56221</v>
      </c>
      <c r="B552" s="696">
        <v>1190</v>
      </c>
      <c r="C552" s="696">
        <v>260</v>
      </c>
      <c r="D552" s="696">
        <v>1000</v>
      </c>
      <c r="F552" s="700" t="s">
        <v>1286</v>
      </c>
      <c r="G552" s="701">
        <v>711.45</v>
      </c>
      <c r="H552" s="12" t="s">
        <v>920</v>
      </c>
      <c r="I552" s="12" t="s">
        <v>901</v>
      </c>
      <c r="J552" s="12" t="s">
        <v>894</v>
      </c>
      <c r="K552" s="12" t="s">
        <v>895</v>
      </c>
      <c r="L552" s="12"/>
      <c r="M552" s="11"/>
      <c r="N552" s="11"/>
      <c r="O552" s="11"/>
      <c r="P552" s="11"/>
    </row>
    <row r="553" spans="1:16" x14ac:dyDescent="0.25">
      <c r="A553" s="696">
        <v>56221</v>
      </c>
      <c r="B553" s="696">
        <v>1220</v>
      </c>
      <c r="C553" s="696">
        <v>200</v>
      </c>
      <c r="D553" s="696">
        <v>1000</v>
      </c>
      <c r="F553" s="700" t="s">
        <v>1286</v>
      </c>
      <c r="G553" s="701">
        <v>3983.62</v>
      </c>
      <c r="H553" s="12" t="s">
        <v>932</v>
      </c>
      <c r="I553" s="12" t="s">
        <v>897</v>
      </c>
      <c r="J553" s="12" t="s">
        <v>894</v>
      </c>
      <c r="K553" s="12" t="s">
        <v>895</v>
      </c>
      <c r="L553" s="12"/>
      <c r="M553" s="11"/>
      <c r="N553" s="11"/>
      <c r="O553" s="11"/>
      <c r="P553" s="11"/>
    </row>
    <row r="554" spans="1:16" x14ac:dyDescent="0.25">
      <c r="A554" s="696">
        <v>56221</v>
      </c>
      <c r="B554" s="696">
        <v>1220</v>
      </c>
      <c r="C554" s="696">
        <v>200</v>
      </c>
      <c r="D554" s="696">
        <v>2100</v>
      </c>
      <c r="F554" s="700" t="s">
        <v>1286</v>
      </c>
      <c r="G554" s="701">
        <v>20372.87</v>
      </c>
      <c r="H554" s="12" t="s">
        <v>932</v>
      </c>
      <c r="I554" s="12" t="s">
        <v>897</v>
      </c>
      <c r="J554" s="12" t="s">
        <v>902</v>
      </c>
      <c r="K554" s="12" t="s">
        <v>895</v>
      </c>
      <c r="L554" s="12"/>
      <c r="M554" s="11"/>
      <c r="N554" s="11"/>
      <c r="O554" s="11"/>
      <c r="P554" s="11"/>
    </row>
    <row r="555" spans="1:16" x14ac:dyDescent="0.25">
      <c r="A555" s="696">
        <v>56221</v>
      </c>
      <c r="B555" s="696">
        <v>1220</v>
      </c>
      <c r="C555" s="696">
        <v>200</v>
      </c>
      <c r="D555" s="696">
        <v>2200</v>
      </c>
      <c r="F555" s="700" t="s">
        <v>1286</v>
      </c>
      <c r="G555" s="701">
        <v>0</v>
      </c>
      <c r="H555" s="12" t="s">
        <v>932</v>
      </c>
      <c r="I555" s="12" t="s">
        <v>897</v>
      </c>
      <c r="J555" s="12" t="s">
        <v>906</v>
      </c>
      <c r="K555" s="12" t="s">
        <v>895</v>
      </c>
      <c r="L555" s="12"/>
      <c r="M555" s="11"/>
      <c r="N555" s="11"/>
      <c r="O555" s="11"/>
      <c r="P555" s="11"/>
    </row>
    <row r="556" spans="1:16" x14ac:dyDescent="0.25">
      <c r="A556" s="696">
        <v>56222</v>
      </c>
      <c r="B556" s="696">
        <v>1322</v>
      </c>
      <c r="C556" s="696">
        <v>100</v>
      </c>
      <c r="D556" s="696">
        <v>2100</v>
      </c>
      <c r="F556" s="700" t="s">
        <v>1287</v>
      </c>
      <c r="G556" s="701">
        <v>6672.97</v>
      </c>
      <c r="H556" s="12" t="s">
        <v>968</v>
      </c>
      <c r="I556" s="12" t="s">
        <v>893</v>
      </c>
      <c r="J556" s="12" t="s">
        <v>902</v>
      </c>
      <c r="K556" s="12" t="s">
        <v>895</v>
      </c>
      <c r="L556" s="12"/>
      <c r="M556" s="11"/>
      <c r="N556" s="11"/>
      <c r="O556" s="11"/>
      <c r="P556" s="11"/>
    </row>
    <row r="557" spans="1:16" x14ac:dyDescent="0.25">
      <c r="A557" s="696">
        <v>56231</v>
      </c>
      <c r="B557" s="696">
        <v>1322</v>
      </c>
      <c r="C557" s="696">
        <v>100</v>
      </c>
      <c r="D557" s="696">
        <v>2100</v>
      </c>
      <c r="F557" s="700" t="s">
        <v>1288</v>
      </c>
      <c r="G557" s="701">
        <v>58129.99</v>
      </c>
      <c r="H557" s="12" t="s">
        <v>968</v>
      </c>
      <c r="I557" s="12" t="s">
        <v>893</v>
      </c>
      <c r="J557" s="12" t="s">
        <v>902</v>
      </c>
      <c r="K557" s="12" t="s">
        <v>895</v>
      </c>
      <c r="L557" s="12"/>
      <c r="M557" s="11"/>
      <c r="N557" s="11"/>
      <c r="O557" s="11"/>
      <c r="P557" s="11"/>
    </row>
    <row r="558" spans="1:16" x14ac:dyDescent="0.25">
      <c r="A558" s="696">
        <v>56232</v>
      </c>
      <c r="B558" s="696">
        <v>1322</v>
      </c>
      <c r="C558" s="696">
        <v>100</v>
      </c>
      <c r="D558" s="696">
        <v>2100</v>
      </c>
      <c r="F558" s="700" t="s">
        <v>1289</v>
      </c>
      <c r="G558" s="701">
        <v>714.39</v>
      </c>
      <c r="H558" s="12" t="s">
        <v>968</v>
      </c>
      <c r="I558" s="12" t="s">
        <v>893</v>
      </c>
      <c r="J558" s="12" t="s">
        <v>902</v>
      </c>
      <c r="K558" s="12" t="s">
        <v>895</v>
      </c>
      <c r="L558" s="12"/>
      <c r="M558" s="11"/>
      <c r="N558" s="11"/>
      <c r="O558" s="11"/>
      <c r="P558" s="11"/>
    </row>
    <row r="559" spans="1:16" x14ac:dyDescent="0.25">
      <c r="A559" s="696">
        <v>56250</v>
      </c>
      <c r="B559" s="696">
        <v>1322</v>
      </c>
      <c r="C559" s="696">
        <v>100</v>
      </c>
      <c r="D559" s="696">
        <v>2100</v>
      </c>
      <c r="F559" s="700" t="s">
        <v>1290</v>
      </c>
      <c r="G559" s="701">
        <v>594.69000000000005</v>
      </c>
      <c r="H559" s="12" t="s">
        <v>968</v>
      </c>
      <c r="I559" s="12" t="s">
        <v>893</v>
      </c>
      <c r="J559" s="12" t="s">
        <v>902</v>
      </c>
      <c r="K559" s="12" t="s">
        <v>895</v>
      </c>
      <c r="L559" s="12"/>
      <c r="M559" s="11"/>
      <c r="N559" s="11"/>
      <c r="O559" s="11"/>
      <c r="P559" s="11"/>
    </row>
    <row r="560" spans="1:16" x14ac:dyDescent="0.25">
      <c r="A560" s="696">
        <v>56290</v>
      </c>
      <c r="B560" s="696">
        <v>1322</v>
      </c>
      <c r="C560" s="696">
        <v>100</v>
      </c>
      <c r="D560" s="696">
        <v>2100</v>
      </c>
      <c r="F560" s="700" t="s">
        <v>1294</v>
      </c>
      <c r="G560" s="701">
        <v>199.03</v>
      </c>
      <c r="H560" s="12" t="s">
        <v>968</v>
      </c>
      <c r="I560" s="12" t="s">
        <v>893</v>
      </c>
      <c r="J560" s="12" t="s">
        <v>902</v>
      </c>
      <c r="K560" s="12" t="s">
        <v>895</v>
      </c>
      <c r="L560" s="12"/>
      <c r="M560" s="11"/>
      <c r="N560" s="11"/>
      <c r="O560" s="11"/>
      <c r="P560" s="11"/>
    </row>
    <row r="561" spans="1:16" x14ac:dyDescent="0.25">
      <c r="A561" s="696">
        <v>56221</v>
      </c>
      <c r="B561" s="696">
        <v>1228</v>
      </c>
      <c r="C561" s="696">
        <v>200</v>
      </c>
      <c r="D561" s="696">
        <v>2200</v>
      </c>
      <c r="F561" s="700" t="s">
        <v>1286</v>
      </c>
      <c r="G561" s="701">
        <v>0</v>
      </c>
      <c r="H561" s="12" t="s">
        <v>940</v>
      </c>
      <c r="I561" s="12" t="s">
        <v>897</v>
      </c>
      <c r="J561" s="12" t="s">
        <v>906</v>
      </c>
      <c r="K561" s="12" t="s">
        <v>895</v>
      </c>
      <c r="L561" s="12"/>
      <c r="M561" s="11"/>
      <c r="N561" s="11"/>
      <c r="O561" s="11"/>
      <c r="P561" s="11"/>
    </row>
    <row r="562" spans="1:16" x14ac:dyDescent="0.25">
      <c r="A562" s="696">
        <v>56222</v>
      </c>
      <c r="B562" s="696">
        <v>1228</v>
      </c>
      <c r="C562" s="696">
        <v>200</v>
      </c>
      <c r="D562" s="696">
        <v>2200</v>
      </c>
      <c r="F562" s="700" t="s">
        <v>1287</v>
      </c>
      <c r="G562" s="701">
        <v>0</v>
      </c>
      <c r="H562" s="12" t="s">
        <v>940</v>
      </c>
      <c r="I562" s="12" t="s">
        <v>897</v>
      </c>
      <c r="J562" s="12" t="s">
        <v>906</v>
      </c>
      <c r="K562" s="12" t="s">
        <v>895</v>
      </c>
      <c r="L562" s="12"/>
      <c r="M562" s="11"/>
      <c r="N562" s="11"/>
      <c r="O562" s="11"/>
      <c r="P562" s="11"/>
    </row>
    <row r="563" spans="1:16" x14ac:dyDescent="0.25">
      <c r="A563" s="696">
        <v>56231</v>
      </c>
      <c r="B563" s="696">
        <v>1228</v>
      </c>
      <c r="C563" s="696">
        <v>200</v>
      </c>
      <c r="D563" s="696">
        <v>2200</v>
      </c>
      <c r="F563" s="700" t="s">
        <v>1288</v>
      </c>
      <c r="G563" s="701">
        <v>0</v>
      </c>
      <c r="H563" s="12" t="s">
        <v>940</v>
      </c>
      <c r="I563" s="12" t="s">
        <v>897</v>
      </c>
      <c r="J563" s="12" t="s">
        <v>906</v>
      </c>
      <c r="K563" s="12" t="s">
        <v>895</v>
      </c>
      <c r="L563" s="12"/>
      <c r="M563" s="11"/>
      <c r="N563" s="11"/>
      <c r="O563" s="11"/>
      <c r="P563" s="11"/>
    </row>
    <row r="564" spans="1:16" x14ac:dyDescent="0.25">
      <c r="A564" s="696">
        <v>56221</v>
      </c>
      <c r="B564" s="696">
        <v>1487</v>
      </c>
      <c r="C564" s="696">
        <v>100</v>
      </c>
      <c r="D564" s="696">
        <v>1000</v>
      </c>
      <c r="F564" s="700" t="s">
        <v>1286</v>
      </c>
      <c r="G564" s="701">
        <v>0</v>
      </c>
      <c r="H564" s="12" t="s">
        <v>995</v>
      </c>
      <c r="I564" s="12" t="s">
        <v>893</v>
      </c>
      <c r="J564" s="12" t="s">
        <v>894</v>
      </c>
      <c r="K564" s="12" t="s">
        <v>895</v>
      </c>
      <c r="L564" s="12"/>
      <c r="M564" s="11"/>
      <c r="N564" s="11"/>
      <c r="O564" s="11"/>
      <c r="P564" s="11"/>
    </row>
    <row r="565" spans="1:16" x14ac:dyDescent="0.25">
      <c r="A565" s="696">
        <v>56221</v>
      </c>
      <c r="B565" s="696">
        <v>1487</v>
      </c>
      <c r="C565" s="696">
        <v>100</v>
      </c>
      <c r="D565" s="696">
        <v>2100</v>
      </c>
      <c r="F565" s="700" t="s">
        <v>1286</v>
      </c>
      <c r="G565" s="701">
        <v>4044.97</v>
      </c>
      <c r="H565" s="12" t="s">
        <v>995</v>
      </c>
      <c r="I565" s="12" t="s">
        <v>893</v>
      </c>
      <c r="J565" s="12" t="s">
        <v>902</v>
      </c>
      <c r="K565" s="12" t="s">
        <v>895</v>
      </c>
      <c r="L565" s="12"/>
      <c r="M565" s="11"/>
      <c r="N565" s="11"/>
      <c r="O565" s="11"/>
      <c r="P565" s="11"/>
    </row>
    <row r="566" spans="1:16" x14ac:dyDescent="0.25">
      <c r="A566" s="696">
        <v>56221</v>
      </c>
      <c r="B566" s="696">
        <v>1531</v>
      </c>
      <c r="C566" s="696">
        <v>100</v>
      </c>
      <c r="D566" s="696">
        <v>1000</v>
      </c>
      <c r="F566" s="700" t="s">
        <v>1286</v>
      </c>
      <c r="G566" s="701">
        <v>0</v>
      </c>
      <c r="H566" s="12" t="s">
        <v>997</v>
      </c>
      <c r="I566" s="12" t="s">
        <v>893</v>
      </c>
      <c r="J566" s="12" t="s">
        <v>894</v>
      </c>
      <c r="K566" s="12" t="s">
        <v>895</v>
      </c>
      <c r="L566" s="12"/>
      <c r="M566" s="11"/>
      <c r="N566" s="11"/>
      <c r="O566" s="11"/>
      <c r="P566" s="11"/>
    </row>
    <row r="567" spans="1:16" x14ac:dyDescent="0.25">
      <c r="A567" s="696">
        <v>56221</v>
      </c>
      <c r="B567" s="696">
        <v>1531</v>
      </c>
      <c r="C567" s="696">
        <v>100</v>
      </c>
      <c r="D567" s="696">
        <v>2200</v>
      </c>
      <c r="F567" s="700" t="s">
        <v>1286</v>
      </c>
      <c r="G567" s="701">
        <v>30547.27</v>
      </c>
      <c r="H567" s="12" t="s">
        <v>997</v>
      </c>
      <c r="I567" s="12" t="s">
        <v>893</v>
      </c>
      <c r="J567" s="12" t="s">
        <v>906</v>
      </c>
      <c r="K567" s="12" t="s">
        <v>895</v>
      </c>
      <c r="L567" s="12"/>
      <c r="M567" s="11"/>
      <c r="N567" s="11"/>
      <c r="O567" s="11"/>
      <c r="P567" s="11"/>
    </row>
    <row r="568" spans="1:16" x14ac:dyDescent="0.25">
      <c r="A568" s="696">
        <v>56221</v>
      </c>
      <c r="B568" s="696">
        <v>1531</v>
      </c>
      <c r="C568" s="696">
        <v>100</v>
      </c>
      <c r="D568" s="696">
        <v>2500</v>
      </c>
      <c r="F568" s="700" t="s">
        <v>1286</v>
      </c>
      <c r="G568" s="701">
        <v>230.51</v>
      </c>
      <c r="H568" s="12" t="s">
        <v>997</v>
      </c>
      <c r="I568" s="12" t="s">
        <v>893</v>
      </c>
      <c r="J568" s="12" t="s">
        <v>926</v>
      </c>
      <c r="K568" s="12" t="s">
        <v>895</v>
      </c>
      <c r="L568" s="12"/>
      <c r="M568" s="11"/>
      <c r="N568" s="11"/>
      <c r="O568" s="11"/>
      <c r="P568" s="11"/>
    </row>
    <row r="569" spans="1:16" x14ac:dyDescent="0.25">
      <c r="A569" s="696">
        <v>56221</v>
      </c>
      <c r="B569" s="696">
        <v>1532</v>
      </c>
      <c r="C569" s="696">
        <v>100</v>
      </c>
      <c r="D569" s="696">
        <v>1000</v>
      </c>
      <c r="F569" s="700" t="s">
        <v>1286</v>
      </c>
      <c r="G569" s="701">
        <v>3620.86</v>
      </c>
      <c r="H569" s="12" t="s">
        <v>997</v>
      </c>
      <c r="I569" s="12" t="s">
        <v>893</v>
      </c>
      <c r="J569" s="12" t="s">
        <v>894</v>
      </c>
      <c r="K569" s="12" t="s">
        <v>895</v>
      </c>
      <c r="L569" s="12"/>
      <c r="M569" s="11"/>
      <c r="N569" s="11"/>
      <c r="O569" s="11"/>
      <c r="P569" s="11"/>
    </row>
    <row r="570" spans="1:16" x14ac:dyDescent="0.25">
      <c r="A570" s="696">
        <v>56221</v>
      </c>
      <c r="B570" s="696">
        <v>1532</v>
      </c>
      <c r="C570" s="696">
        <v>100</v>
      </c>
      <c r="D570" s="696">
        <v>2200</v>
      </c>
      <c r="F570" s="700" t="s">
        <v>1286</v>
      </c>
      <c r="G570" s="701">
        <v>19.84</v>
      </c>
      <c r="H570" s="12" t="s">
        <v>997</v>
      </c>
      <c r="I570" s="12" t="s">
        <v>893</v>
      </c>
      <c r="J570" s="12" t="s">
        <v>906</v>
      </c>
      <c r="K570" s="12" t="s">
        <v>895</v>
      </c>
      <c r="L570" s="12"/>
      <c r="M570" s="11"/>
      <c r="N570" s="11"/>
      <c r="O570" s="11"/>
      <c r="P570" s="11"/>
    </row>
    <row r="571" spans="1:16" x14ac:dyDescent="0.25">
      <c r="A571" s="696">
        <v>56221</v>
      </c>
      <c r="B571" s="696">
        <v>1532</v>
      </c>
      <c r="C571" s="696">
        <v>100</v>
      </c>
      <c r="D571" s="696">
        <v>2500</v>
      </c>
      <c r="F571" s="700" t="s">
        <v>1286</v>
      </c>
      <c r="G571" s="701">
        <v>1135.3900000000001</v>
      </c>
      <c r="H571" s="12" t="s">
        <v>997</v>
      </c>
      <c r="I571" s="12" t="s">
        <v>893</v>
      </c>
      <c r="J571" s="12" t="s">
        <v>926</v>
      </c>
      <c r="K571" s="12" t="s">
        <v>895</v>
      </c>
      <c r="L571" s="12"/>
      <c r="M571" s="11"/>
      <c r="N571" s="11"/>
      <c r="O571" s="11"/>
      <c r="P571" s="11"/>
    </row>
    <row r="572" spans="1:16" x14ac:dyDescent="0.25">
      <c r="A572" s="696">
        <v>56221</v>
      </c>
      <c r="B572" s="696">
        <v>1534</v>
      </c>
      <c r="C572" s="696">
        <v>100</v>
      </c>
      <c r="D572" s="696">
        <v>2700</v>
      </c>
      <c r="F572" s="700" t="s">
        <v>1286</v>
      </c>
      <c r="G572" s="701">
        <v>5.45</v>
      </c>
      <c r="H572" s="12" t="s">
        <v>997</v>
      </c>
      <c r="I572" s="12" t="s">
        <v>913</v>
      </c>
      <c r="J572" s="12" t="s">
        <v>934</v>
      </c>
      <c r="K572" s="12" t="s">
        <v>895</v>
      </c>
      <c r="L572" s="12"/>
      <c r="M572" s="11"/>
      <c r="N572" s="11"/>
      <c r="O572" s="11"/>
      <c r="P572" s="11"/>
    </row>
    <row r="573" spans="1:16" x14ac:dyDescent="0.25">
      <c r="A573" s="696">
        <v>56221</v>
      </c>
      <c r="B573" s="696">
        <v>1534</v>
      </c>
      <c r="C573" s="696">
        <v>400</v>
      </c>
      <c r="D573" s="696">
        <v>2700</v>
      </c>
      <c r="F573" s="700" t="s">
        <v>1286</v>
      </c>
      <c r="G573" s="701">
        <v>472.06</v>
      </c>
      <c r="H573" s="12" t="s">
        <v>997</v>
      </c>
      <c r="I573" s="12" t="s">
        <v>913</v>
      </c>
      <c r="J573" s="12" t="s">
        <v>934</v>
      </c>
      <c r="K573" s="12" t="s">
        <v>895</v>
      </c>
      <c r="L573" s="12"/>
      <c r="M573" s="11"/>
      <c r="N573" s="11"/>
      <c r="O573" s="11"/>
      <c r="P573" s="11"/>
    </row>
    <row r="574" spans="1:16" x14ac:dyDescent="0.25">
      <c r="A574" s="696">
        <v>56221</v>
      </c>
      <c r="B574" s="696">
        <v>1536</v>
      </c>
      <c r="C574" s="696">
        <v>100</v>
      </c>
      <c r="D574" s="696">
        <v>2200</v>
      </c>
      <c r="F574" s="700" t="s">
        <v>1286</v>
      </c>
      <c r="G574" s="701">
        <v>255.51</v>
      </c>
      <c r="H574" s="12" t="s">
        <v>997</v>
      </c>
      <c r="I574" s="12" t="s">
        <v>893</v>
      </c>
      <c r="J574" s="12" t="s">
        <v>906</v>
      </c>
      <c r="K574" s="12" t="s">
        <v>895</v>
      </c>
      <c r="L574" s="12"/>
      <c r="M574" s="11"/>
      <c r="N574" s="11"/>
      <c r="O574" s="11"/>
      <c r="P574" s="11"/>
    </row>
    <row r="575" spans="1:16" x14ac:dyDescent="0.25">
      <c r="A575" s="696">
        <v>56221</v>
      </c>
      <c r="B575" s="696">
        <v>1536</v>
      </c>
      <c r="C575" s="696">
        <v>100</v>
      </c>
      <c r="D575" s="696">
        <v>2300</v>
      </c>
      <c r="F575" s="700" t="s">
        <v>1286</v>
      </c>
      <c r="G575" s="701">
        <v>461.98</v>
      </c>
      <c r="H575" s="12" t="s">
        <v>997</v>
      </c>
      <c r="I575" s="12" t="s">
        <v>893</v>
      </c>
      <c r="J575" s="12" t="s">
        <v>918</v>
      </c>
      <c r="K575" s="12" t="s">
        <v>895</v>
      </c>
      <c r="L575" s="12"/>
      <c r="M575" s="11"/>
      <c r="N575" s="11"/>
      <c r="O575" s="11"/>
      <c r="P575" s="11"/>
    </row>
    <row r="576" spans="1:16" x14ac:dyDescent="0.25">
      <c r="A576" s="696">
        <v>56221</v>
      </c>
      <c r="B576" s="696">
        <v>1536</v>
      </c>
      <c r="C576" s="696">
        <v>100</v>
      </c>
      <c r="D576" s="696">
        <v>2500</v>
      </c>
      <c r="F576" s="700" t="s">
        <v>1286</v>
      </c>
      <c r="G576" s="701">
        <v>3980.08</v>
      </c>
      <c r="H576" s="12" t="s">
        <v>997</v>
      </c>
      <c r="I576" s="12" t="s">
        <v>893</v>
      </c>
      <c r="J576" s="12" t="s">
        <v>926</v>
      </c>
      <c r="K576" s="12" t="s">
        <v>895</v>
      </c>
      <c r="L576" s="12"/>
      <c r="M576" s="11"/>
      <c r="N576" s="11"/>
      <c r="O576" s="11"/>
      <c r="P576" s="11"/>
    </row>
    <row r="577" spans="1:16" x14ac:dyDescent="0.25">
      <c r="A577" s="696">
        <v>56221</v>
      </c>
      <c r="B577" s="696">
        <v>1540</v>
      </c>
      <c r="C577" s="696">
        <v>100</v>
      </c>
      <c r="D577" s="696">
        <v>1000</v>
      </c>
      <c r="F577" s="700" t="s">
        <v>1286</v>
      </c>
      <c r="G577" s="701">
        <v>1163.08</v>
      </c>
      <c r="H577" s="12" t="s">
        <v>997</v>
      </c>
      <c r="I577" s="12" t="s">
        <v>893</v>
      </c>
      <c r="J577" s="12" t="s">
        <v>894</v>
      </c>
      <c r="K577" s="12" t="s">
        <v>895</v>
      </c>
      <c r="L577" s="12"/>
      <c r="M577" s="11"/>
      <c r="N577" s="11"/>
      <c r="O577" s="11"/>
      <c r="P577" s="11"/>
    </row>
    <row r="578" spans="1:16" x14ac:dyDescent="0.25">
      <c r="A578" s="696">
        <v>56221</v>
      </c>
      <c r="B578" s="696">
        <v>1540</v>
      </c>
      <c r="C578" s="696">
        <v>100</v>
      </c>
      <c r="D578" s="696">
        <v>2500</v>
      </c>
      <c r="F578" s="700" t="s">
        <v>1286</v>
      </c>
      <c r="G578" s="701">
        <v>2455.39</v>
      </c>
      <c r="H578" s="12" t="s">
        <v>997</v>
      </c>
      <c r="I578" s="12" t="s">
        <v>893</v>
      </c>
      <c r="J578" s="12" t="s">
        <v>926</v>
      </c>
      <c r="K578" s="12" t="s">
        <v>895</v>
      </c>
      <c r="L578" s="12"/>
      <c r="M578" s="11"/>
      <c r="N578" s="11"/>
      <c r="O578" s="11"/>
      <c r="P578" s="11"/>
    </row>
    <row r="579" spans="1:16" x14ac:dyDescent="0.25">
      <c r="A579" s="696">
        <v>56221</v>
      </c>
      <c r="B579" s="696">
        <v>1756</v>
      </c>
      <c r="C579" s="696">
        <v>615</v>
      </c>
      <c r="D579" s="696">
        <v>1000</v>
      </c>
      <c r="F579" s="700" t="s">
        <v>1286</v>
      </c>
      <c r="G579" s="701">
        <v>246.21</v>
      </c>
      <c r="H579" s="12" t="s">
        <v>997</v>
      </c>
      <c r="I579" s="12" t="s">
        <v>937</v>
      </c>
      <c r="J579" s="12" t="s">
        <v>894</v>
      </c>
      <c r="K579" s="12" t="s">
        <v>895</v>
      </c>
      <c r="L579" s="12"/>
      <c r="M579" s="11"/>
      <c r="N579" s="11"/>
      <c r="O579" s="11"/>
      <c r="P579" s="11"/>
    </row>
    <row r="580" spans="1:16" x14ac:dyDescent="0.25">
      <c r="A580" s="696">
        <v>56221</v>
      </c>
      <c r="B580" s="696">
        <v>1766</v>
      </c>
      <c r="C580" s="696">
        <v>615</v>
      </c>
      <c r="D580" s="696">
        <v>1000</v>
      </c>
      <c r="F580" s="700" t="s">
        <v>1286</v>
      </c>
      <c r="G580" s="701">
        <v>121.21</v>
      </c>
      <c r="H580" s="12" t="s">
        <v>997</v>
      </c>
      <c r="I580" s="12" t="s">
        <v>937</v>
      </c>
      <c r="J580" s="12" t="s">
        <v>894</v>
      </c>
      <c r="K580" s="12" t="s">
        <v>895</v>
      </c>
      <c r="L580" s="12"/>
      <c r="M580" s="11"/>
      <c r="N580" s="11"/>
      <c r="O580" s="11"/>
      <c r="P580" s="11"/>
    </row>
    <row r="581" spans="1:16" x14ac:dyDescent="0.25">
      <c r="A581" s="696">
        <v>56221</v>
      </c>
      <c r="B581" s="696">
        <v>1769</v>
      </c>
      <c r="C581" s="696">
        <v>615</v>
      </c>
      <c r="D581" s="696">
        <v>1000</v>
      </c>
      <c r="F581" s="700" t="s">
        <v>1286</v>
      </c>
      <c r="G581" s="701">
        <v>61.65</v>
      </c>
      <c r="H581" s="12" t="s">
        <v>997</v>
      </c>
      <c r="I581" s="12" t="s">
        <v>937</v>
      </c>
      <c r="J581" s="12" t="s">
        <v>894</v>
      </c>
      <c r="K581" s="12" t="s">
        <v>895</v>
      </c>
      <c r="L581" s="12"/>
      <c r="M581" s="11"/>
      <c r="N581" s="11"/>
      <c r="O581" s="11"/>
      <c r="P581" s="11"/>
    </row>
    <row r="582" spans="1:16" x14ac:dyDescent="0.25">
      <c r="A582" s="696">
        <v>56221</v>
      </c>
      <c r="B582" s="696">
        <v>1772</v>
      </c>
      <c r="C582" s="696">
        <v>615</v>
      </c>
      <c r="D582" s="696">
        <v>1000</v>
      </c>
      <c r="F582" s="700" t="s">
        <v>1286</v>
      </c>
      <c r="G582" s="701">
        <v>213.11</v>
      </c>
      <c r="H582" s="12" t="s">
        <v>997</v>
      </c>
      <c r="I582" s="12" t="s">
        <v>937</v>
      </c>
      <c r="J582" s="12" t="s">
        <v>894</v>
      </c>
      <c r="K582" s="12" t="s">
        <v>895</v>
      </c>
      <c r="L582" s="12"/>
      <c r="M582" s="11"/>
      <c r="N582" s="11"/>
      <c r="O582" s="11"/>
      <c r="P582" s="11"/>
    </row>
    <row r="583" spans="1:16" x14ac:dyDescent="0.25">
      <c r="A583" s="696">
        <v>56221</v>
      </c>
      <c r="B583" s="696">
        <v>1774</v>
      </c>
      <c r="C583" s="696">
        <v>615</v>
      </c>
      <c r="D583" s="696">
        <v>1000</v>
      </c>
      <c r="F583" s="700" t="s">
        <v>1286</v>
      </c>
      <c r="G583" s="701">
        <v>247.49</v>
      </c>
      <c r="H583" s="12" t="s">
        <v>997</v>
      </c>
      <c r="I583" s="12" t="s">
        <v>937</v>
      </c>
      <c r="J583" s="12" t="s">
        <v>894</v>
      </c>
      <c r="K583" s="12" t="s">
        <v>895</v>
      </c>
      <c r="L583" s="12"/>
      <c r="M583" s="11"/>
      <c r="N583" s="11"/>
      <c r="O583" s="11"/>
      <c r="P583" s="11"/>
    </row>
    <row r="584" spans="1:16" x14ac:dyDescent="0.25">
      <c r="A584" s="696">
        <v>56221</v>
      </c>
      <c r="B584" s="696">
        <v>1782</v>
      </c>
      <c r="C584" s="696">
        <v>615</v>
      </c>
      <c r="D584" s="696">
        <v>1000</v>
      </c>
      <c r="F584" s="700" t="s">
        <v>1286</v>
      </c>
      <c r="G584" s="701">
        <v>121.36</v>
      </c>
      <c r="H584" s="12" t="s">
        <v>997</v>
      </c>
      <c r="I584" s="12" t="s">
        <v>937</v>
      </c>
      <c r="J584" s="12" t="s">
        <v>894</v>
      </c>
      <c r="K584" s="12" t="s">
        <v>895</v>
      </c>
      <c r="L584" s="12"/>
      <c r="M584" s="11"/>
      <c r="N584" s="11"/>
      <c r="O584" s="11"/>
      <c r="P584" s="11"/>
    </row>
    <row r="585" spans="1:16" x14ac:dyDescent="0.25">
      <c r="A585" s="696">
        <v>56221</v>
      </c>
      <c r="B585" s="696">
        <v>1784</v>
      </c>
      <c r="C585" s="696">
        <v>615</v>
      </c>
      <c r="D585" s="696">
        <v>1000</v>
      </c>
      <c r="F585" s="700" t="s">
        <v>1286</v>
      </c>
      <c r="G585" s="701">
        <v>61.67</v>
      </c>
      <c r="H585" s="12" t="s">
        <v>997</v>
      </c>
      <c r="I585" s="12" t="s">
        <v>937</v>
      </c>
      <c r="J585" s="12" t="s">
        <v>894</v>
      </c>
      <c r="K585" s="12" t="s">
        <v>895</v>
      </c>
      <c r="L585" s="12"/>
      <c r="M585" s="11"/>
      <c r="N585" s="11"/>
      <c r="O585" s="11"/>
      <c r="P585" s="11"/>
    </row>
    <row r="586" spans="1:16" x14ac:dyDescent="0.25">
      <c r="A586" s="696">
        <v>56221</v>
      </c>
      <c r="B586" s="696">
        <v>1785</v>
      </c>
      <c r="C586" s="696">
        <v>615</v>
      </c>
      <c r="D586" s="696">
        <v>1000</v>
      </c>
      <c r="F586" s="700" t="s">
        <v>1286</v>
      </c>
      <c r="G586" s="701">
        <v>121.66</v>
      </c>
      <c r="H586" s="12" t="s">
        <v>997</v>
      </c>
      <c r="I586" s="12" t="s">
        <v>937</v>
      </c>
      <c r="J586" s="12" t="s">
        <v>894</v>
      </c>
      <c r="K586" s="12" t="s">
        <v>895</v>
      </c>
      <c r="L586" s="12"/>
      <c r="M586" s="11"/>
      <c r="N586" s="11"/>
      <c r="O586" s="11"/>
      <c r="P586" s="11"/>
    </row>
    <row r="587" spans="1:16" x14ac:dyDescent="0.25">
      <c r="A587" s="696">
        <v>56221</v>
      </c>
      <c r="B587" s="696">
        <v>1788</v>
      </c>
      <c r="C587" s="696">
        <v>615</v>
      </c>
      <c r="D587" s="696">
        <v>1000</v>
      </c>
      <c r="F587" s="700" t="s">
        <v>1286</v>
      </c>
      <c r="G587" s="701">
        <v>62</v>
      </c>
      <c r="H587" s="12" t="s">
        <v>997</v>
      </c>
      <c r="I587" s="12" t="s">
        <v>937</v>
      </c>
      <c r="J587" s="12" t="s">
        <v>894</v>
      </c>
      <c r="K587" s="12" t="s">
        <v>895</v>
      </c>
      <c r="L587" s="12"/>
      <c r="M587" s="11"/>
      <c r="N587" s="11"/>
      <c r="O587" s="11"/>
      <c r="P587" s="11"/>
    </row>
    <row r="588" spans="1:16" x14ac:dyDescent="0.25">
      <c r="A588" s="696">
        <v>56221</v>
      </c>
      <c r="B588" s="696">
        <v>1795</v>
      </c>
      <c r="C588" s="696">
        <v>615</v>
      </c>
      <c r="D588" s="696">
        <v>1000</v>
      </c>
      <c r="F588" s="700" t="s">
        <v>1286</v>
      </c>
      <c r="G588" s="701">
        <v>55.11</v>
      </c>
      <c r="H588" s="12" t="s">
        <v>997</v>
      </c>
      <c r="I588" s="12" t="s">
        <v>937</v>
      </c>
      <c r="J588" s="12" t="s">
        <v>894</v>
      </c>
      <c r="K588" s="12" t="s">
        <v>895</v>
      </c>
      <c r="L588" s="12"/>
      <c r="M588" s="11"/>
      <c r="N588" s="11"/>
      <c r="O588" s="11"/>
      <c r="P588" s="11"/>
    </row>
    <row r="589" spans="1:16" x14ac:dyDescent="0.25">
      <c r="A589" s="696">
        <v>56221</v>
      </c>
      <c r="B589" s="696">
        <v>1798</v>
      </c>
      <c r="C589" s="696">
        <v>615</v>
      </c>
      <c r="D589" s="696">
        <v>1000</v>
      </c>
      <c r="F589" s="700" t="s">
        <v>1286</v>
      </c>
      <c r="G589" s="701">
        <v>62</v>
      </c>
      <c r="H589" s="12" t="s">
        <v>997</v>
      </c>
      <c r="I589" s="12" t="s">
        <v>937</v>
      </c>
      <c r="J589" s="12" t="s">
        <v>894</v>
      </c>
      <c r="K589" s="12" t="s">
        <v>895</v>
      </c>
      <c r="L589" s="12"/>
      <c r="M589" s="11"/>
      <c r="N589" s="11"/>
      <c r="O589" s="11"/>
      <c r="P589" s="11"/>
    </row>
    <row r="590" spans="1:16" x14ac:dyDescent="0.25">
      <c r="A590" s="696">
        <v>56221</v>
      </c>
      <c r="B590" s="696">
        <v>1801</v>
      </c>
      <c r="C590" s="696">
        <v>615</v>
      </c>
      <c r="D590" s="696">
        <v>1000</v>
      </c>
      <c r="F590" s="700" t="s">
        <v>1286</v>
      </c>
      <c r="G590" s="701">
        <v>124</v>
      </c>
      <c r="H590" s="12" t="s">
        <v>997</v>
      </c>
      <c r="I590" s="12" t="s">
        <v>937</v>
      </c>
      <c r="J590" s="12" t="s">
        <v>894</v>
      </c>
      <c r="K590" s="12" t="s">
        <v>895</v>
      </c>
      <c r="L590" s="12"/>
      <c r="M590" s="11"/>
      <c r="N590" s="11"/>
      <c r="O590" s="11"/>
      <c r="P590" s="11"/>
    </row>
    <row r="591" spans="1:16" x14ac:dyDescent="0.25">
      <c r="A591" s="696">
        <v>56221</v>
      </c>
      <c r="B591" s="696">
        <v>1802</v>
      </c>
      <c r="C591" s="696">
        <v>615</v>
      </c>
      <c r="D591" s="696">
        <v>1000</v>
      </c>
      <c r="F591" s="700" t="s">
        <v>1286</v>
      </c>
      <c r="G591" s="701">
        <v>60.47</v>
      </c>
      <c r="H591" s="12" t="s">
        <v>997</v>
      </c>
      <c r="I591" s="12" t="s">
        <v>937</v>
      </c>
      <c r="J591" s="12" t="s">
        <v>894</v>
      </c>
      <c r="K591" s="12" t="s">
        <v>895</v>
      </c>
      <c r="L591" s="12"/>
      <c r="M591" s="11"/>
      <c r="N591" s="11"/>
      <c r="O591" s="11"/>
      <c r="P591" s="11"/>
    </row>
    <row r="592" spans="1:16" x14ac:dyDescent="0.25">
      <c r="A592" s="696">
        <v>56221</v>
      </c>
      <c r="B592" s="696">
        <v>1805</v>
      </c>
      <c r="C592" s="696">
        <v>615</v>
      </c>
      <c r="D592" s="696">
        <v>1000</v>
      </c>
      <c r="F592" s="700" t="s">
        <v>1286</v>
      </c>
      <c r="G592" s="701">
        <v>30.78</v>
      </c>
      <c r="H592" s="12" t="s">
        <v>997</v>
      </c>
      <c r="I592" s="12" t="s">
        <v>937</v>
      </c>
      <c r="J592" s="12" t="s">
        <v>894</v>
      </c>
      <c r="K592" s="12" t="s">
        <v>895</v>
      </c>
      <c r="L592" s="12"/>
      <c r="M592" s="11"/>
      <c r="N592" s="11"/>
      <c r="O592" s="11"/>
      <c r="P592" s="11"/>
    </row>
    <row r="593" spans="1:16" x14ac:dyDescent="0.25">
      <c r="A593" s="696">
        <v>56221</v>
      </c>
      <c r="B593" s="696">
        <v>1808</v>
      </c>
      <c r="C593" s="696">
        <v>615</v>
      </c>
      <c r="D593" s="696">
        <v>1000</v>
      </c>
      <c r="F593" s="700" t="s">
        <v>1286</v>
      </c>
      <c r="G593" s="701">
        <v>153.69</v>
      </c>
      <c r="H593" s="12" t="s">
        <v>997</v>
      </c>
      <c r="I593" s="12" t="s">
        <v>937</v>
      </c>
      <c r="J593" s="12" t="s">
        <v>894</v>
      </c>
      <c r="K593" s="12" t="s">
        <v>895</v>
      </c>
      <c r="L593" s="12"/>
      <c r="M593" s="11"/>
      <c r="N593" s="11"/>
      <c r="O593" s="11"/>
      <c r="P593" s="11"/>
    </row>
    <row r="594" spans="1:16" x14ac:dyDescent="0.25">
      <c r="A594" s="696">
        <v>56221</v>
      </c>
      <c r="B594" s="696">
        <v>1810</v>
      </c>
      <c r="C594" s="696">
        <v>615</v>
      </c>
      <c r="D594" s="696">
        <v>1000</v>
      </c>
      <c r="F594" s="700" t="s">
        <v>1286</v>
      </c>
      <c r="G594" s="701">
        <v>245.7</v>
      </c>
      <c r="H594" s="12" t="s">
        <v>997</v>
      </c>
      <c r="I594" s="12" t="s">
        <v>937</v>
      </c>
      <c r="J594" s="12" t="s">
        <v>894</v>
      </c>
      <c r="K594" s="12" t="s">
        <v>895</v>
      </c>
      <c r="L594" s="12"/>
      <c r="M594" s="11"/>
      <c r="N594" s="11"/>
      <c r="O594" s="11"/>
      <c r="P594" s="11"/>
    </row>
    <row r="595" spans="1:16" x14ac:dyDescent="0.25">
      <c r="A595" s="696">
        <v>56221</v>
      </c>
      <c r="B595" s="696">
        <v>1812</v>
      </c>
      <c r="C595" s="696">
        <v>615</v>
      </c>
      <c r="D595" s="696">
        <v>1000</v>
      </c>
      <c r="F595" s="700" t="s">
        <v>1286</v>
      </c>
      <c r="G595" s="701">
        <v>364.44</v>
      </c>
      <c r="H595" s="12" t="s">
        <v>997</v>
      </c>
      <c r="I595" s="12" t="s">
        <v>937</v>
      </c>
      <c r="J595" s="12" t="s">
        <v>894</v>
      </c>
      <c r="K595" s="12" t="s">
        <v>895</v>
      </c>
      <c r="L595" s="12"/>
      <c r="M595" s="11"/>
      <c r="N595" s="11"/>
      <c r="O595" s="11"/>
      <c r="P595" s="11"/>
    </row>
    <row r="596" spans="1:16" x14ac:dyDescent="0.25">
      <c r="A596" s="696">
        <v>56221</v>
      </c>
      <c r="B596" s="696">
        <v>1817</v>
      </c>
      <c r="C596" s="696">
        <v>615</v>
      </c>
      <c r="D596" s="696">
        <v>1000</v>
      </c>
      <c r="F596" s="700" t="s">
        <v>1286</v>
      </c>
      <c r="G596" s="701">
        <v>61.76</v>
      </c>
      <c r="H596" s="12" t="s">
        <v>997</v>
      </c>
      <c r="I596" s="12" t="s">
        <v>937</v>
      </c>
      <c r="J596" s="12" t="s">
        <v>894</v>
      </c>
      <c r="K596" s="12" t="s">
        <v>895</v>
      </c>
      <c r="L596" s="12"/>
      <c r="M596" s="11"/>
      <c r="N596" s="11"/>
      <c r="O596" s="11"/>
      <c r="P596" s="11"/>
    </row>
    <row r="597" spans="1:16" x14ac:dyDescent="0.25">
      <c r="A597" s="696">
        <v>56221</v>
      </c>
      <c r="B597" s="696">
        <v>1818</v>
      </c>
      <c r="C597" s="696">
        <v>615</v>
      </c>
      <c r="D597" s="696">
        <v>1000</v>
      </c>
      <c r="F597" s="700" t="s">
        <v>1286</v>
      </c>
      <c r="G597" s="701">
        <v>62</v>
      </c>
      <c r="H597" s="12" t="s">
        <v>997</v>
      </c>
      <c r="I597" s="12" t="s">
        <v>937</v>
      </c>
      <c r="J597" s="12" t="s">
        <v>894</v>
      </c>
      <c r="K597" s="12" t="s">
        <v>895</v>
      </c>
      <c r="L597" s="12"/>
      <c r="M597" s="11"/>
      <c r="N597" s="11"/>
      <c r="O597" s="11"/>
      <c r="P597" s="11"/>
    </row>
    <row r="598" spans="1:16" x14ac:dyDescent="0.25">
      <c r="A598" s="696">
        <v>56221</v>
      </c>
      <c r="B598" s="696">
        <v>1823</v>
      </c>
      <c r="C598" s="696">
        <v>615</v>
      </c>
      <c r="D598" s="696">
        <v>1000</v>
      </c>
      <c r="F598" s="700" t="s">
        <v>1286</v>
      </c>
      <c r="G598" s="701">
        <v>61.71</v>
      </c>
      <c r="H598" s="12" t="s">
        <v>997</v>
      </c>
      <c r="I598" s="12" t="s">
        <v>937</v>
      </c>
      <c r="J598" s="12" t="s">
        <v>894</v>
      </c>
      <c r="K598" s="12" t="s">
        <v>895</v>
      </c>
      <c r="L598" s="12"/>
      <c r="M598" s="11"/>
      <c r="N598" s="11"/>
      <c r="O598" s="11"/>
      <c r="P598" s="11"/>
    </row>
    <row r="599" spans="1:16" x14ac:dyDescent="0.25">
      <c r="A599" s="696">
        <v>56221</v>
      </c>
      <c r="B599" s="696">
        <v>1833</v>
      </c>
      <c r="C599" s="696">
        <v>615</v>
      </c>
      <c r="D599" s="696">
        <v>1000</v>
      </c>
      <c r="F599" s="700" t="s">
        <v>1286</v>
      </c>
      <c r="G599" s="701">
        <v>246.76</v>
      </c>
      <c r="H599" s="12" t="s">
        <v>997</v>
      </c>
      <c r="I599" s="12" t="s">
        <v>937</v>
      </c>
      <c r="J599" s="12" t="s">
        <v>894</v>
      </c>
      <c r="K599" s="12" t="s">
        <v>895</v>
      </c>
      <c r="L599" s="12"/>
      <c r="M599" s="11"/>
      <c r="N599" s="11"/>
      <c r="O599" s="11"/>
      <c r="P599" s="11"/>
    </row>
    <row r="600" spans="1:16" x14ac:dyDescent="0.25">
      <c r="A600" s="696">
        <v>56221</v>
      </c>
      <c r="B600" s="696">
        <v>1834</v>
      </c>
      <c r="C600" s="696">
        <v>615</v>
      </c>
      <c r="D600" s="696">
        <v>1000</v>
      </c>
      <c r="F600" s="700" t="s">
        <v>1286</v>
      </c>
      <c r="G600" s="701">
        <v>61.17</v>
      </c>
      <c r="H600" s="12" t="s">
        <v>997</v>
      </c>
      <c r="I600" s="12" t="s">
        <v>937</v>
      </c>
      <c r="J600" s="12" t="s">
        <v>894</v>
      </c>
      <c r="K600" s="12" t="s">
        <v>895</v>
      </c>
      <c r="L600" s="12"/>
      <c r="M600" s="11"/>
      <c r="N600" s="11"/>
      <c r="O600" s="11"/>
      <c r="P600" s="11"/>
    </row>
    <row r="601" spans="1:16" x14ac:dyDescent="0.25">
      <c r="A601" s="696">
        <v>56221</v>
      </c>
      <c r="B601" s="696">
        <v>1835</v>
      </c>
      <c r="C601" s="696">
        <v>615</v>
      </c>
      <c r="D601" s="696">
        <v>1000</v>
      </c>
      <c r="F601" s="700" t="s">
        <v>1286</v>
      </c>
      <c r="G601" s="701">
        <v>59.35</v>
      </c>
      <c r="H601" s="12" t="s">
        <v>997</v>
      </c>
      <c r="I601" s="12" t="s">
        <v>937</v>
      </c>
      <c r="J601" s="12" t="s">
        <v>894</v>
      </c>
      <c r="K601" s="12" t="s">
        <v>895</v>
      </c>
      <c r="L601" s="12"/>
      <c r="M601" s="11"/>
      <c r="N601" s="11"/>
      <c r="O601" s="11"/>
      <c r="P601" s="11"/>
    </row>
    <row r="602" spans="1:16" x14ac:dyDescent="0.25">
      <c r="A602" s="696">
        <v>56221</v>
      </c>
      <c r="B602" s="696">
        <v>1836</v>
      </c>
      <c r="C602" s="696">
        <v>615</v>
      </c>
      <c r="D602" s="696">
        <v>1000</v>
      </c>
      <c r="F602" s="700" t="s">
        <v>1286</v>
      </c>
      <c r="G602" s="701">
        <v>60.05</v>
      </c>
      <c r="H602" s="12" t="s">
        <v>997</v>
      </c>
      <c r="I602" s="12" t="s">
        <v>937</v>
      </c>
      <c r="J602" s="12" t="s">
        <v>894</v>
      </c>
      <c r="K602" s="12" t="s">
        <v>895</v>
      </c>
      <c r="L602" s="12"/>
      <c r="M602" s="11"/>
      <c r="N602" s="11"/>
      <c r="O602" s="11"/>
      <c r="P602" s="11"/>
    </row>
    <row r="603" spans="1:16" x14ac:dyDescent="0.25">
      <c r="A603" s="696">
        <v>56221</v>
      </c>
      <c r="B603" s="696">
        <v>1844</v>
      </c>
      <c r="C603" s="696">
        <v>615</v>
      </c>
      <c r="D603" s="696">
        <v>1000</v>
      </c>
      <c r="F603" s="700" t="s">
        <v>1286</v>
      </c>
      <c r="G603" s="701">
        <v>61.95</v>
      </c>
      <c r="H603" s="12" t="s">
        <v>997</v>
      </c>
      <c r="I603" s="12" t="s">
        <v>937</v>
      </c>
      <c r="J603" s="12" t="s">
        <v>894</v>
      </c>
      <c r="K603" s="12" t="s">
        <v>895</v>
      </c>
      <c r="L603" s="12"/>
      <c r="M603" s="11"/>
      <c r="N603" s="11"/>
      <c r="O603" s="11"/>
      <c r="P603" s="11"/>
    </row>
    <row r="604" spans="1:16" x14ac:dyDescent="0.25">
      <c r="A604" s="696">
        <v>56221</v>
      </c>
      <c r="B604" s="696">
        <v>1853</v>
      </c>
      <c r="C604" s="696">
        <v>615</v>
      </c>
      <c r="D604" s="696">
        <v>1000</v>
      </c>
      <c r="F604" s="700" t="s">
        <v>1286</v>
      </c>
      <c r="G604" s="701">
        <v>118.43</v>
      </c>
      <c r="H604" s="12" t="s">
        <v>997</v>
      </c>
      <c r="I604" s="12" t="s">
        <v>937</v>
      </c>
      <c r="J604" s="12" t="s">
        <v>894</v>
      </c>
      <c r="K604" s="12" t="s">
        <v>895</v>
      </c>
      <c r="L604" s="12"/>
      <c r="M604" s="11"/>
      <c r="N604" s="11"/>
      <c r="O604" s="11"/>
      <c r="P604" s="11"/>
    </row>
    <row r="605" spans="1:16" x14ac:dyDescent="0.25">
      <c r="A605" s="696">
        <v>56221</v>
      </c>
      <c r="B605" s="696">
        <v>1859</v>
      </c>
      <c r="C605" s="696">
        <v>615</v>
      </c>
      <c r="D605" s="696">
        <v>1000</v>
      </c>
      <c r="F605" s="700" t="s">
        <v>1286</v>
      </c>
      <c r="G605" s="701">
        <v>57.8</v>
      </c>
      <c r="H605" s="12" t="s">
        <v>997</v>
      </c>
      <c r="I605" s="12" t="s">
        <v>937</v>
      </c>
      <c r="J605" s="12" t="s">
        <v>894</v>
      </c>
      <c r="K605" s="12" t="s">
        <v>895</v>
      </c>
      <c r="L605" s="12"/>
      <c r="M605" s="11"/>
      <c r="N605" s="11"/>
      <c r="O605" s="11"/>
      <c r="P605" s="11"/>
    </row>
    <row r="606" spans="1:16" x14ac:dyDescent="0.25">
      <c r="A606" s="696">
        <v>56221</v>
      </c>
      <c r="B606" s="696">
        <v>1866</v>
      </c>
      <c r="C606" s="696">
        <v>615</v>
      </c>
      <c r="D606" s="696">
        <v>1000</v>
      </c>
      <c r="F606" s="700" t="s">
        <v>1286</v>
      </c>
      <c r="G606" s="701">
        <v>31</v>
      </c>
      <c r="H606" s="12" t="s">
        <v>997</v>
      </c>
      <c r="I606" s="12" t="s">
        <v>937</v>
      </c>
      <c r="J606" s="12" t="s">
        <v>894</v>
      </c>
      <c r="K606" s="12" t="s">
        <v>895</v>
      </c>
      <c r="L606" s="12"/>
      <c r="M606" s="11"/>
      <c r="N606" s="11"/>
      <c r="O606" s="11"/>
      <c r="P606" s="11"/>
    </row>
    <row r="607" spans="1:16" x14ac:dyDescent="0.25">
      <c r="A607" s="696">
        <v>56221</v>
      </c>
      <c r="B607" s="696">
        <v>1867</v>
      </c>
      <c r="C607" s="696">
        <v>615</v>
      </c>
      <c r="D607" s="696">
        <v>1000</v>
      </c>
      <c r="F607" s="700" t="s">
        <v>1286</v>
      </c>
      <c r="G607" s="701">
        <v>77.36</v>
      </c>
      <c r="H607" s="12" t="s">
        <v>997</v>
      </c>
      <c r="I607" s="12" t="s">
        <v>937</v>
      </c>
      <c r="J607" s="12" t="s">
        <v>894</v>
      </c>
      <c r="K607" s="12" t="s">
        <v>895</v>
      </c>
      <c r="L607" s="12"/>
      <c r="M607" s="11"/>
      <c r="N607" s="11"/>
      <c r="O607" s="11"/>
      <c r="P607" s="11"/>
    </row>
    <row r="608" spans="1:16" x14ac:dyDescent="0.25">
      <c r="A608" s="696">
        <v>56221</v>
      </c>
      <c r="B608" s="696">
        <v>1910</v>
      </c>
      <c r="C608" s="696">
        <v>615</v>
      </c>
      <c r="D608" s="696">
        <v>1000</v>
      </c>
      <c r="F608" s="700" t="s">
        <v>1286</v>
      </c>
      <c r="G608" s="701">
        <v>60.16</v>
      </c>
      <c r="H608" s="12" t="s">
        <v>997</v>
      </c>
      <c r="I608" s="12" t="s">
        <v>937</v>
      </c>
      <c r="J608" s="12" t="s">
        <v>894</v>
      </c>
      <c r="K608" s="12" t="s">
        <v>895</v>
      </c>
      <c r="L608" s="12"/>
      <c r="M608" s="11"/>
      <c r="N608" s="11"/>
      <c r="O608" s="11"/>
      <c r="P608" s="11"/>
    </row>
    <row r="609" spans="1:16" x14ac:dyDescent="0.25">
      <c r="A609" s="696">
        <v>56222</v>
      </c>
      <c r="B609" s="696">
        <v>1000</v>
      </c>
      <c r="C609" s="696">
        <v>100</v>
      </c>
      <c r="D609" s="696">
        <v>1000</v>
      </c>
      <c r="F609" s="700" t="s">
        <v>1287</v>
      </c>
      <c r="G609" s="701">
        <v>72413.429999999993</v>
      </c>
      <c r="H609" s="12" t="s">
        <v>889</v>
      </c>
      <c r="I609" s="12" t="s">
        <v>893</v>
      </c>
      <c r="J609" s="12" t="s">
        <v>894</v>
      </c>
      <c r="K609" s="12" t="s">
        <v>895</v>
      </c>
      <c r="L609" s="12"/>
      <c r="M609" s="11"/>
      <c r="N609" s="11"/>
      <c r="O609" s="11"/>
      <c r="P609" s="11"/>
    </row>
    <row r="610" spans="1:16" x14ac:dyDescent="0.25">
      <c r="A610" s="696">
        <v>56222</v>
      </c>
      <c r="B610" s="696">
        <v>1000</v>
      </c>
      <c r="C610" s="696">
        <v>100</v>
      </c>
      <c r="D610" s="696">
        <v>2100</v>
      </c>
      <c r="F610" s="700" t="s">
        <v>1287</v>
      </c>
      <c r="G610" s="701">
        <v>48024.160000000003</v>
      </c>
      <c r="H610" s="12" t="s">
        <v>889</v>
      </c>
      <c r="I610" s="12" t="s">
        <v>893</v>
      </c>
      <c r="J610" s="12" t="s">
        <v>902</v>
      </c>
      <c r="K610" s="12" t="s">
        <v>895</v>
      </c>
      <c r="L610" s="12"/>
      <c r="M610" s="11"/>
      <c r="N610" s="11"/>
      <c r="O610" s="11"/>
      <c r="P610" s="11"/>
    </row>
    <row r="611" spans="1:16" x14ac:dyDescent="0.25">
      <c r="A611" s="696">
        <v>56222</v>
      </c>
      <c r="B611" s="696">
        <v>1000</v>
      </c>
      <c r="C611" s="696">
        <v>100</v>
      </c>
      <c r="D611" s="696">
        <v>2110</v>
      </c>
      <c r="F611" s="700" t="s">
        <v>1287</v>
      </c>
      <c r="G611" s="701">
        <v>1128.1600000000001</v>
      </c>
      <c r="H611" s="12" t="s">
        <v>889</v>
      </c>
      <c r="I611" s="12" t="s">
        <v>893</v>
      </c>
      <c r="J611" s="12" t="s">
        <v>902</v>
      </c>
      <c r="K611" s="12" t="s">
        <v>895</v>
      </c>
      <c r="L611" s="12"/>
      <c r="M611" s="11"/>
      <c r="N611" s="11"/>
      <c r="O611" s="11"/>
      <c r="P611" s="11"/>
    </row>
    <row r="612" spans="1:16" x14ac:dyDescent="0.25">
      <c r="A612" s="696">
        <v>56222</v>
      </c>
      <c r="B612" s="696">
        <v>1000</v>
      </c>
      <c r="C612" s="696">
        <v>100</v>
      </c>
      <c r="D612" s="696">
        <v>2200</v>
      </c>
      <c r="F612" s="700" t="s">
        <v>1287</v>
      </c>
      <c r="G612" s="701">
        <v>10988.69</v>
      </c>
      <c r="H612" s="12" t="s">
        <v>889</v>
      </c>
      <c r="I612" s="12" t="s">
        <v>893</v>
      </c>
      <c r="J612" s="12" t="s">
        <v>906</v>
      </c>
      <c r="K612" s="12" t="s">
        <v>895</v>
      </c>
      <c r="L612" s="12"/>
      <c r="M612" s="11"/>
      <c r="N612" s="11"/>
      <c r="O612" s="11"/>
      <c r="P612" s="11"/>
    </row>
    <row r="613" spans="1:16" x14ac:dyDescent="0.25">
      <c r="A613" s="696">
        <v>56222</v>
      </c>
      <c r="B613" s="696">
        <v>1000</v>
      </c>
      <c r="C613" s="696">
        <v>100</v>
      </c>
      <c r="D613" s="696">
        <v>2300</v>
      </c>
      <c r="F613" s="700" t="s">
        <v>1287</v>
      </c>
      <c r="G613" s="701">
        <v>3645.07</v>
      </c>
      <c r="H613" s="12" t="s">
        <v>889</v>
      </c>
      <c r="I613" s="12" t="s">
        <v>893</v>
      </c>
      <c r="J613" s="12" t="s">
        <v>918</v>
      </c>
      <c r="K613" s="12" t="s">
        <v>895</v>
      </c>
      <c r="L613" s="12"/>
      <c r="M613" s="11"/>
      <c r="N613" s="11"/>
      <c r="O613" s="11"/>
      <c r="P613" s="11"/>
    </row>
    <row r="614" spans="1:16" x14ac:dyDescent="0.25">
      <c r="A614" s="696">
        <v>56222</v>
      </c>
      <c r="B614" s="696">
        <v>1000</v>
      </c>
      <c r="C614" s="696">
        <v>100</v>
      </c>
      <c r="D614" s="696">
        <v>2310</v>
      </c>
      <c r="F614" s="700" t="s">
        <v>1287</v>
      </c>
      <c r="G614" s="701">
        <v>1691.92</v>
      </c>
      <c r="H614" s="12" t="s">
        <v>889</v>
      </c>
      <c r="I614" s="12" t="s">
        <v>893</v>
      </c>
      <c r="J614" s="12" t="s">
        <v>918</v>
      </c>
      <c r="K614" s="12" t="s">
        <v>895</v>
      </c>
      <c r="L614" s="12"/>
      <c r="M614" s="11"/>
      <c r="N614" s="11"/>
      <c r="O614" s="11"/>
      <c r="P614" s="11"/>
    </row>
    <row r="615" spans="1:16" x14ac:dyDescent="0.25">
      <c r="A615" s="696">
        <v>56222</v>
      </c>
      <c r="B615" s="696">
        <v>1000</v>
      </c>
      <c r="C615" s="696">
        <v>100</v>
      </c>
      <c r="D615" s="696">
        <v>2400</v>
      </c>
      <c r="F615" s="700" t="s">
        <v>1287</v>
      </c>
      <c r="G615" s="701">
        <v>12961.64</v>
      </c>
      <c r="H615" s="12" t="s">
        <v>889</v>
      </c>
      <c r="I615" s="12" t="s">
        <v>893</v>
      </c>
      <c r="J615" s="12" t="s">
        <v>922</v>
      </c>
      <c r="K615" s="12" t="s">
        <v>895</v>
      </c>
      <c r="L615" s="12"/>
      <c r="M615" s="11"/>
      <c r="N615" s="11"/>
      <c r="O615" s="11"/>
      <c r="P615" s="11"/>
    </row>
    <row r="616" spans="1:16" x14ac:dyDescent="0.25">
      <c r="A616" s="696">
        <v>56222</v>
      </c>
      <c r="B616" s="696">
        <v>1000</v>
      </c>
      <c r="C616" s="696">
        <v>100</v>
      </c>
      <c r="D616" s="696">
        <v>2410</v>
      </c>
      <c r="F616" s="700" t="s">
        <v>1287</v>
      </c>
      <c r="G616" s="701">
        <v>799.57</v>
      </c>
      <c r="H616" s="12" t="s">
        <v>889</v>
      </c>
      <c r="I616" s="12" t="s">
        <v>893</v>
      </c>
      <c r="J616" s="12" t="s">
        <v>922</v>
      </c>
      <c r="K616" s="12" t="s">
        <v>895</v>
      </c>
      <c r="L616" s="12"/>
      <c r="M616" s="11"/>
      <c r="N616" s="11"/>
      <c r="O616" s="11"/>
      <c r="P616" s="11"/>
    </row>
    <row r="617" spans="1:16" x14ac:dyDescent="0.25">
      <c r="A617" s="696">
        <v>56222</v>
      </c>
      <c r="B617" s="696">
        <v>1000</v>
      </c>
      <c r="C617" s="696">
        <v>100</v>
      </c>
      <c r="D617" s="696">
        <v>2500</v>
      </c>
      <c r="F617" s="700" t="s">
        <v>1287</v>
      </c>
      <c r="G617" s="701">
        <v>46638.89</v>
      </c>
      <c r="H617" s="12" t="s">
        <v>889</v>
      </c>
      <c r="I617" s="12" t="s">
        <v>893</v>
      </c>
      <c r="J617" s="12" t="s">
        <v>926</v>
      </c>
      <c r="K617" s="12" t="s">
        <v>895</v>
      </c>
      <c r="L617" s="12"/>
      <c r="M617" s="11"/>
      <c r="N617" s="11"/>
      <c r="O617" s="11"/>
      <c r="P617" s="11"/>
    </row>
    <row r="618" spans="1:16" x14ac:dyDescent="0.25">
      <c r="A618" s="696">
        <v>56222</v>
      </c>
      <c r="B618" s="696">
        <v>1000</v>
      </c>
      <c r="C618" s="696">
        <v>100</v>
      </c>
      <c r="D618" s="696">
        <v>2510</v>
      </c>
      <c r="F618" s="700" t="s">
        <v>1287</v>
      </c>
      <c r="G618" s="701">
        <v>1265.58</v>
      </c>
      <c r="H618" s="12" t="s">
        <v>889</v>
      </c>
      <c r="I618" s="12" t="s">
        <v>893</v>
      </c>
      <c r="J618" s="12" t="s">
        <v>926</v>
      </c>
      <c r="K618" s="12" t="s">
        <v>895</v>
      </c>
      <c r="L618" s="12"/>
      <c r="M618" s="11"/>
      <c r="N618" s="11"/>
      <c r="O618" s="11"/>
      <c r="P618" s="11"/>
    </row>
    <row r="619" spans="1:16" x14ac:dyDescent="0.25">
      <c r="A619" s="696">
        <v>56222</v>
      </c>
      <c r="B619" s="696">
        <v>1000</v>
      </c>
      <c r="C619" s="696">
        <v>100</v>
      </c>
      <c r="D619" s="696">
        <v>2520</v>
      </c>
      <c r="F619" s="700" t="s">
        <v>1287</v>
      </c>
      <c r="G619" s="701">
        <v>928.91</v>
      </c>
      <c r="H619" s="12" t="s">
        <v>889</v>
      </c>
      <c r="I619" s="12" t="s">
        <v>893</v>
      </c>
      <c r="J619" s="12" t="s">
        <v>926</v>
      </c>
      <c r="K619" s="12" t="s">
        <v>895</v>
      </c>
      <c r="L619" s="12"/>
      <c r="M619" s="11"/>
      <c r="N619" s="11"/>
      <c r="O619" s="11"/>
      <c r="P619" s="11"/>
    </row>
    <row r="620" spans="1:16" x14ac:dyDescent="0.25">
      <c r="A620" s="696">
        <v>56222</v>
      </c>
      <c r="B620" s="696">
        <v>1000</v>
      </c>
      <c r="C620" s="696">
        <v>100</v>
      </c>
      <c r="D620" s="696">
        <v>2600</v>
      </c>
      <c r="F620" s="700" t="s">
        <v>1287</v>
      </c>
      <c r="G620" s="701">
        <v>1400.6</v>
      </c>
      <c r="H620" s="12" t="s">
        <v>889</v>
      </c>
      <c r="I620" s="12" t="s">
        <v>893</v>
      </c>
      <c r="J620" s="12" t="s">
        <v>930</v>
      </c>
      <c r="K620" s="12" t="s">
        <v>895</v>
      </c>
      <c r="L620" s="12"/>
      <c r="M620" s="11"/>
      <c r="N620" s="11"/>
      <c r="O620" s="11"/>
      <c r="P620" s="11"/>
    </row>
    <row r="621" spans="1:16" x14ac:dyDescent="0.25">
      <c r="A621" s="696">
        <v>56222</v>
      </c>
      <c r="B621" s="696">
        <v>1000</v>
      </c>
      <c r="C621" s="696">
        <v>100</v>
      </c>
      <c r="D621" s="696">
        <v>2700</v>
      </c>
      <c r="F621" s="700" t="s">
        <v>1287</v>
      </c>
      <c r="G621" s="701">
        <v>1.0900000000000001</v>
      </c>
      <c r="H621" s="12" t="s">
        <v>889</v>
      </c>
      <c r="I621" s="12" t="s">
        <v>913</v>
      </c>
      <c r="J621" s="12" t="s">
        <v>934</v>
      </c>
      <c r="K621" s="12" t="s">
        <v>895</v>
      </c>
      <c r="L621" s="12"/>
      <c r="M621" s="11"/>
      <c r="N621" s="11"/>
      <c r="O621" s="11"/>
      <c r="P621" s="11"/>
    </row>
    <row r="622" spans="1:16" x14ac:dyDescent="0.25">
      <c r="A622" s="696">
        <v>56222</v>
      </c>
      <c r="B622" s="696">
        <v>1000</v>
      </c>
      <c r="C622" s="696">
        <v>100</v>
      </c>
      <c r="D622" s="696">
        <v>3100</v>
      </c>
      <c r="F622" s="700" t="s">
        <v>1287</v>
      </c>
      <c r="G622" s="701">
        <v>6.24</v>
      </c>
      <c r="H622" s="12" t="s">
        <v>889</v>
      </c>
      <c r="I622" s="12" t="s">
        <v>893</v>
      </c>
      <c r="J622" s="12" t="s">
        <v>942</v>
      </c>
      <c r="K622" s="12" t="s">
        <v>895</v>
      </c>
      <c r="L622" s="12"/>
      <c r="M622" s="11"/>
      <c r="N622" s="11"/>
      <c r="O622" s="11"/>
      <c r="P622" s="11"/>
    </row>
    <row r="623" spans="1:16" x14ac:dyDescent="0.25">
      <c r="A623" s="696">
        <v>56222</v>
      </c>
      <c r="B623" s="696">
        <v>1000</v>
      </c>
      <c r="C623" s="696">
        <v>200</v>
      </c>
      <c r="D623" s="696">
        <v>1000</v>
      </c>
      <c r="F623" s="700" t="s">
        <v>1287</v>
      </c>
      <c r="G623" s="701">
        <v>9247.7099999999991</v>
      </c>
      <c r="H623" s="12" t="s">
        <v>889</v>
      </c>
      <c r="I623" s="12" t="s">
        <v>897</v>
      </c>
      <c r="J623" s="12" t="s">
        <v>894</v>
      </c>
      <c r="K623" s="12" t="s">
        <v>895</v>
      </c>
      <c r="L623" s="12"/>
      <c r="M623" s="11"/>
      <c r="N623" s="11"/>
      <c r="O623" s="11"/>
      <c r="P623" s="11"/>
    </row>
    <row r="624" spans="1:16" x14ac:dyDescent="0.25">
      <c r="A624" s="696">
        <v>56222</v>
      </c>
      <c r="B624" s="696">
        <v>1000</v>
      </c>
      <c r="C624" s="696">
        <v>200</v>
      </c>
      <c r="D624" s="696">
        <v>2100</v>
      </c>
      <c r="F624" s="700" t="s">
        <v>1287</v>
      </c>
      <c r="G624" s="701">
        <v>1234.6199999999999</v>
      </c>
      <c r="H624" s="12" t="s">
        <v>889</v>
      </c>
      <c r="I624" s="12" t="s">
        <v>897</v>
      </c>
      <c r="J624" s="12" t="s">
        <v>902</v>
      </c>
      <c r="K624" s="12" t="s">
        <v>895</v>
      </c>
      <c r="L624" s="12"/>
      <c r="M624" s="11"/>
      <c r="N624" s="11"/>
      <c r="O624" s="11"/>
      <c r="P624" s="11"/>
    </row>
    <row r="625" spans="1:16" x14ac:dyDescent="0.25">
      <c r="A625" s="696">
        <v>56222</v>
      </c>
      <c r="B625" s="696">
        <v>1000</v>
      </c>
      <c r="C625" s="696">
        <v>200</v>
      </c>
      <c r="D625" s="696">
        <v>2200</v>
      </c>
      <c r="F625" s="700" t="s">
        <v>1287</v>
      </c>
      <c r="G625" s="701">
        <v>794.1</v>
      </c>
      <c r="H625" s="12" t="s">
        <v>889</v>
      </c>
      <c r="I625" s="12" t="s">
        <v>897</v>
      </c>
      <c r="J625" s="12" t="s">
        <v>906</v>
      </c>
      <c r="K625" s="12" t="s">
        <v>895</v>
      </c>
      <c r="L625" s="12"/>
      <c r="M625" s="11"/>
      <c r="N625" s="11"/>
      <c r="O625" s="11"/>
      <c r="P625" s="11"/>
    </row>
    <row r="626" spans="1:16" x14ac:dyDescent="0.25">
      <c r="A626" s="696">
        <v>56222</v>
      </c>
      <c r="B626" s="696">
        <v>1000</v>
      </c>
      <c r="C626" s="696">
        <v>200</v>
      </c>
      <c r="D626" s="696">
        <v>2500</v>
      </c>
      <c r="F626" s="700" t="s">
        <v>1287</v>
      </c>
      <c r="G626" s="701">
        <v>77.099999999999994</v>
      </c>
      <c r="H626" s="12" t="s">
        <v>889</v>
      </c>
      <c r="I626" s="12" t="s">
        <v>897</v>
      </c>
      <c r="J626" s="12" t="s">
        <v>926</v>
      </c>
      <c r="K626" s="12" t="s">
        <v>895</v>
      </c>
      <c r="L626" s="12"/>
      <c r="M626" s="11"/>
      <c r="N626" s="11"/>
      <c r="O626" s="11"/>
      <c r="P626" s="11"/>
    </row>
    <row r="627" spans="1:16" x14ac:dyDescent="0.25">
      <c r="A627" s="696">
        <v>56222</v>
      </c>
      <c r="B627" s="696">
        <v>1000</v>
      </c>
      <c r="C627" s="696">
        <v>240</v>
      </c>
      <c r="D627" s="696">
        <v>1000</v>
      </c>
      <c r="F627" s="700" t="s">
        <v>1287</v>
      </c>
      <c r="G627" s="701">
        <v>407.96</v>
      </c>
      <c r="H627" s="12" t="s">
        <v>889</v>
      </c>
      <c r="I627" s="12" t="s">
        <v>897</v>
      </c>
      <c r="J627" s="12" t="s">
        <v>894</v>
      </c>
      <c r="K627" s="12" t="s">
        <v>895</v>
      </c>
      <c r="L627" s="12"/>
      <c r="M627" s="11"/>
      <c r="N627" s="11"/>
      <c r="O627" s="11"/>
      <c r="P627" s="11"/>
    </row>
    <row r="628" spans="1:16" x14ac:dyDescent="0.25">
      <c r="A628" s="696">
        <v>56222</v>
      </c>
      <c r="B628" s="696">
        <v>1000</v>
      </c>
      <c r="C628" s="696">
        <v>260</v>
      </c>
      <c r="D628" s="696">
        <v>1000</v>
      </c>
      <c r="F628" s="700" t="s">
        <v>1287</v>
      </c>
      <c r="G628" s="701">
        <v>875.78</v>
      </c>
      <c r="H628" s="12" t="s">
        <v>896</v>
      </c>
      <c r="I628" s="12" t="s">
        <v>901</v>
      </c>
      <c r="J628" s="12" t="s">
        <v>894</v>
      </c>
      <c r="K628" s="12" t="s">
        <v>895</v>
      </c>
      <c r="L628" s="12"/>
      <c r="M628" s="11"/>
      <c r="N628" s="11"/>
      <c r="O628" s="11"/>
      <c r="P628" s="11"/>
    </row>
    <row r="629" spans="1:16" x14ac:dyDescent="0.25">
      <c r="A629" s="696">
        <v>56222</v>
      </c>
      <c r="B629" s="696">
        <v>1000</v>
      </c>
      <c r="C629" s="696">
        <v>400</v>
      </c>
      <c r="D629" s="696">
        <v>2700</v>
      </c>
      <c r="F629" s="700" t="s">
        <v>1287</v>
      </c>
      <c r="G629" s="701">
        <v>100.19</v>
      </c>
      <c r="H629" s="12" t="s">
        <v>889</v>
      </c>
      <c r="I629" s="12" t="s">
        <v>913</v>
      </c>
      <c r="J629" s="12" t="s">
        <v>934</v>
      </c>
      <c r="K629" s="12" t="s">
        <v>895</v>
      </c>
      <c r="L629" s="12"/>
      <c r="M629" s="11"/>
      <c r="N629" s="11"/>
      <c r="O629" s="11"/>
      <c r="P629" s="11"/>
    </row>
    <row r="630" spans="1:16" x14ac:dyDescent="0.25">
      <c r="A630" s="696">
        <v>56222</v>
      </c>
      <c r="B630" s="696">
        <v>1000</v>
      </c>
      <c r="C630" s="696">
        <v>550</v>
      </c>
      <c r="D630" s="696">
        <v>1000</v>
      </c>
      <c r="F630" s="700" t="s">
        <v>1287</v>
      </c>
      <c r="G630" s="701">
        <v>1132.04</v>
      </c>
      <c r="H630" s="12" t="s">
        <v>889</v>
      </c>
      <c r="I630" s="12" t="s">
        <v>933</v>
      </c>
      <c r="J630" s="12" t="s">
        <v>894</v>
      </c>
      <c r="K630" s="12" t="s">
        <v>895</v>
      </c>
      <c r="L630" s="12"/>
      <c r="M630" s="11"/>
      <c r="N630" s="11"/>
      <c r="O630" s="11"/>
      <c r="P630" s="11"/>
    </row>
    <row r="631" spans="1:16" x14ac:dyDescent="0.25">
      <c r="A631" s="696">
        <v>56222</v>
      </c>
      <c r="B631" s="696">
        <v>1000</v>
      </c>
      <c r="C631" s="696">
        <v>615</v>
      </c>
      <c r="D631" s="696">
        <v>1000</v>
      </c>
      <c r="F631" s="700" t="s">
        <v>1287</v>
      </c>
      <c r="G631" s="701">
        <v>49.92</v>
      </c>
      <c r="H631" s="12" t="s">
        <v>889</v>
      </c>
      <c r="I631" s="12" t="s">
        <v>937</v>
      </c>
      <c r="J631" s="12" t="s">
        <v>894</v>
      </c>
      <c r="K631" s="12" t="s">
        <v>895</v>
      </c>
      <c r="L631" s="12"/>
      <c r="M631" s="11"/>
      <c r="N631" s="11"/>
      <c r="O631" s="11"/>
      <c r="P631" s="11"/>
    </row>
    <row r="632" spans="1:16" x14ac:dyDescent="0.25">
      <c r="A632" s="696">
        <v>56222</v>
      </c>
      <c r="B632" s="696">
        <v>1012</v>
      </c>
      <c r="C632" s="696">
        <v>100</v>
      </c>
      <c r="D632" s="696">
        <v>1000</v>
      </c>
      <c r="F632" s="700" t="s">
        <v>1287</v>
      </c>
      <c r="G632" s="701">
        <v>35295.86</v>
      </c>
      <c r="H632" s="12" t="s">
        <v>890</v>
      </c>
      <c r="I632" s="12" t="s">
        <v>893</v>
      </c>
      <c r="J632" s="12" t="s">
        <v>894</v>
      </c>
      <c r="K632" s="12" t="s">
        <v>895</v>
      </c>
      <c r="L632" s="12"/>
      <c r="M632" s="11"/>
      <c r="N632" s="11"/>
      <c r="O632" s="11"/>
      <c r="P632" s="11"/>
    </row>
    <row r="633" spans="1:16" x14ac:dyDescent="0.25">
      <c r="A633" s="696">
        <v>56222</v>
      </c>
      <c r="B633" s="696">
        <v>1012</v>
      </c>
      <c r="C633" s="696">
        <v>100</v>
      </c>
      <c r="D633" s="696">
        <v>2100</v>
      </c>
      <c r="F633" s="700" t="s">
        <v>1287</v>
      </c>
      <c r="G633" s="701">
        <v>3721.16</v>
      </c>
      <c r="H633" s="12" t="s">
        <v>890</v>
      </c>
      <c r="I633" s="12" t="s">
        <v>893</v>
      </c>
      <c r="J633" s="12" t="s">
        <v>902</v>
      </c>
      <c r="K633" s="12" t="s">
        <v>895</v>
      </c>
      <c r="L633" s="12"/>
      <c r="M633" s="11"/>
      <c r="N633" s="11"/>
      <c r="O633" s="11"/>
      <c r="P633" s="11"/>
    </row>
    <row r="634" spans="1:16" x14ac:dyDescent="0.25">
      <c r="A634" s="696">
        <v>56222</v>
      </c>
      <c r="B634" s="696">
        <v>1012</v>
      </c>
      <c r="C634" s="696">
        <v>100</v>
      </c>
      <c r="D634" s="696">
        <v>2200</v>
      </c>
      <c r="F634" s="700" t="s">
        <v>1287</v>
      </c>
      <c r="G634" s="701">
        <v>262.17</v>
      </c>
      <c r="H634" s="12" t="s">
        <v>890</v>
      </c>
      <c r="I634" s="12" t="s">
        <v>893</v>
      </c>
      <c r="J634" s="12" t="s">
        <v>906</v>
      </c>
      <c r="K634" s="12" t="s">
        <v>895</v>
      </c>
      <c r="L634" s="12"/>
      <c r="M634" s="11"/>
      <c r="N634" s="11"/>
      <c r="O634" s="11"/>
      <c r="P634" s="11"/>
    </row>
    <row r="635" spans="1:16" x14ac:dyDescent="0.25">
      <c r="A635" s="696">
        <v>56222</v>
      </c>
      <c r="B635" s="696">
        <v>1012</v>
      </c>
      <c r="C635" s="696">
        <v>200</v>
      </c>
      <c r="D635" s="696">
        <v>1000</v>
      </c>
      <c r="F635" s="700" t="s">
        <v>1287</v>
      </c>
      <c r="G635" s="701">
        <v>770.83</v>
      </c>
      <c r="H635" s="12" t="s">
        <v>890</v>
      </c>
      <c r="I635" s="12" t="s">
        <v>897</v>
      </c>
      <c r="J635" s="12" t="s">
        <v>894</v>
      </c>
      <c r="K635" s="12" t="s">
        <v>895</v>
      </c>
      <c r="L635" s="12"/>
      <c r="M635" s="11"/>
      <c r="N635" s="11"/>
      <c r="O635" s="11"/>
      <c r="P635" s="11"/>
    </row>
    <row r="636" spans="1:16" x14ac:dyDescent="0.25">
      <c r="A636" s="696">
        <v>56222</v>
      </c>
      <c r="B636" s="696">
        <v>1012</v>
      </c>
      <c r="C636" s="696">
        <v>200</v>
      </c>
      <c r="D636" s="696">
        <v>2100</v>
      </c>
      <c r="F636" s="700" t="s">
        <v>1287</v>
      </c>
      <c r="G636" s="701">
        <v>439.28</v>
      </c>
      <c r="H636" s="12" t="s">
        <v>890</v>
      </c>
      <c r="I636" s="12" t="s">
        <v>897</v>
      </c>
      <c r="J636" s="12" t="s">
        <v>902</v>
      </c>
      <c r="K636" s="12" t="s">
        <v>895</v>
      </c>
      <c r="L636" s="12"/>
      <c r="M636" s="11"/>
      <c r="N636" s="11"/>
      <c r="O636" s="11"/>
      <c r="P636" s="11"/>
    </row>
    <row r="637" spans="1:16" x14ac:dyDescent="0.25">
      <c r="A637" s="696">
        <v>56222</v>
      </c>
      <c r="B637" s="696">
        <v>1012</v>
      </c>
      <c r="C637" s="696">
        <v>260</v>
      </c>
      <c r="D637" s="696">
        <v>1000</v>
      </c>
      <c r="F637" s="700" t="s">
        <v>1287</v>
      </c>
      <c r="G637" s="701">
        <v>70.040000000000006</v>
      </c>
      <c r="H637" s="12" t="s">
        <v>890</v>
      </c>
      <c r="I637" s="12" t="s">
        <v>901</v>
      </c>
      <c r="J637" s="12" t="s">
        <v>894</v>
      </c>
      <c r="K637" s="12" t="s">
        <v>895</v>
      </c>
      <c r="L637" s="12"/>
      <c r="M637" s="11"/>
      <c r="N637" s="11"/>
      <c r="O637" s="11"/>
      <c r="P637" s="11"/>
    </row>
    <row r="638" spans="1:16" x14ac:dyDescent="0.25">
      <c r="A638" s="696">
        <v>56222</v>
      </c>
      <c r="B638" s="696">
        <v>1220</v>
      </c>
      <c r="C638" s="696">
        <v>200</v>
      </c>
      <c r="D638" s="696">
        <v>1000</v>
      </c>
      <c r="F638" s="700" t="s">
        <v>1287</v>
      </c>
      <c r="G638" s="701">
        <v>931.63</v>
      </c>
      <c r="H638" s="12" t="s">
        <v>932</v>
      </c>
      <c r="I638" s="12" t="s">
        <v>897</v>
      </c>
      <c r="J638" s="12" t="s">
        <v>894</v>
      </c>
      <c r="K638" s="12" t="s">
        <v>895</v>
      </c>
      <c r="L638" s="12"/>
      <c r="M638" s="11"/>
      <c r="N638" s="11"/>
      <c r="O638" s="11"/>
      <c r="P638" s="11"/>
    </row>
    <row r="639" spans="1:16" x14ac:dyDescent="0.25">
      <c r="A639" s="696">
        <v>56222</v>
      </c>
      <c r="B639" s="696">
        <v>1220</v>
      </c>
      <c r="C639" s="696">
        <v>200</v>
      </c>
      <c r="D639" s="696">
        <v>2100</v>
      </c>
      <c r="F639" s="700" t="s">
        <v>1287</v>
      </c>
      <c r="G639" s="701">
        <v>4764.54</v>
      </c>
      <c r="H639" s="12" t="s">
        <v>932</v>
      </c>
      <c r="I639" s="12" t="s">
        <v>897</v>
      </c>
      <c r="J639" s="12" t="s">
        <v>902</v>
      </c>
      <c r="K639" s="12" t="s">
        <v>895</v>
      </c>
      <c r="L639" s="12"/>
      <c r="M639" s="11"/>
      <c r="N639" s="11"/>
      <c r="O639" s="11"/>
      <c r="P639" s="11"/>
    </row>
    <row r="640" spans="1:16" x14ac:dyDescent="0.25">
      <c r="A640" s="696">
        <v>56222</v>
      </c>
      <c r="B640" s="696">
        <v>1220</v>
      </c>
      <c r="C640" s="696">
        <v>200</v>
      </c>
      <c r="D640" s="696">
        <v>2200</v>
      </c>
      <c r="F640" s="700" t="s">
        <v>1287</v>
      </c>
      <c r="G640" s="701">
        <v>0</v>
      </c>
      <c r="H640" s="12" t="s">
        <v>932</v>
      </c>
      <c r="I640" s="12" t="s">
        <v>897</v>
      </c>
      <c r="J640" s="12" t="s">
        <v>906</v>
      </c>
      <c r="K640" s="12" t="s">
        <v>895</v>
      </c>
      <c r="L640" s="12"/>
      <c r="M640" s="11"/>
      <c r="N640" s="11"/>
      <c r="O640" s="11"/>
      <c r="P640" s="11"/>
    </row>
    <row r="641" spans="1:16" x14ac:dyDescent="0.25">
      <c r="A641" s="696">
        <v>56232</v>
      </c>
      <c r="B641" s="696">
        <v>1228</v>
      </c>
      <c r="C641" s="696">
        <v>200</v>
      </c>
      <c r="D641" s="696">
        <v>2200</v>
      </c>
      <c r="F641" s="700" t="s">
        <v>1289</v>
      </c>
      <c r="G641" s="701">
        <v>0</v>
      </c>
      <c r="H641" s="12" t="s">
        <v>940</v>
      </c>
      <c r="I641" s="12" t="s">
        <v>897</v>
      </c>
      <c r="J641" s="12" t="s">
        <v>906</v>
      </c>
      <c r="K641" s="12" t="s">
        <v>895</v>
      </c>
      <c r="L641" s="12"/>
      <c r="M641" s="11"/>
      <c r="N641" s="11"/>
      <c r="O641" s="11"/>
      <c r="P641" s="11"/>
    </row>
    <row r="642" spans="1:16" x14ac:dyDescent="0.25">
      <c r="A642" s="696">
        <v>56221</v>
      </c>
      <c r="B642" s="696">
        <v>1313</v>
      </c>
      <c r="C642" s="696">
        <v>100</v>
      </c>
      <c r="D642" s="696">
        <v>2200</v>
      </c>
      <c r="F642" s="700" t="s">
        <v>1286</v>
      </c>
      <c r="G642" s="701">
        <v>0</v>
      </c>
      <c r="H642" s="12" t="s">
        <v>968</v>
      </c>
      <c r="I642" s="12" t="s">
        <v>893</v>
      </c>
      <c r="J642" s="12" t="s">
        <v>906</v>
      </c>
      <c r="K642" s="12" t="s">
        <v>895</v>
      </c>
      <c r="L642" s="12"/>
      <c r="M642" s="11"/>
      <c r="N642" s="11"/>
      <c r="O642" s="11"/>
      <c r="P642" s="11"/>
    </row>
    <row r="643" spans="1:16" x14ac:dyDescent="0.25">
      <c r="A643" s="696">
        <v>56222</v>
      </c>
      <c r="B643" s="696">
        <v>1313</v>
      </c>
      <c r="C643" s="696">
        <v>100</v>
      </c>
      <c r="D643" s="696">
        <v>2200</v>
      </c>
      <c r="F643" s="700" t="s">
        <v>1287</v>
      </c>
      <c r="G643" s="701">
        <v>0</v>
      </c>
      <c r="H643" s="12" t="s">
        <v>968</v>
      </c>
      <c r="I643" s="12" t="s">
        <v>893</v>
      </c>
      <c r="J643" s="12" t="s">
        <v>906</v>
      </c>
      <c r="K643" s="12" t="s">
        <v>895</v>
      </c>
      <c r="L643" s="12"/>
      <c r="M643" s="11"/>
      <c r="N643" s="11"/>
      <c r="O643" s="11"/>
      <c r="P643" s="11"/>
    </row>
    <row r="644" spans="1:16" x14ac:dyDescent="0.25">
      <c r="A644" s="696">
        <v>56210</v>
      </c>
      <c r="B644" s="696">
        <v>1322</v>
      </c>
      <c r="C644" s="696">
        <v>100</v>
      </c>
      <c r="D644" s="696">
        <v>2200</v>
      </c>
      <c r="F644" s="700" t="s">
        <v>1281</v>
      </c>
      <c r="G644" s="701">
        <v>6793.82</v>
      </c>
      <c r="H644" s="12" t="s">
        <v>968</v>
      </c>
      <c r="I644" s="12" t="s">
        <v>893</v>
      </c>
      <c r="J644" s="12" t="s">
        <v>906</v>
      </c>
      <c r="K644" s="12" t="s">
        <v>895</v>
      </c>
      <c r="L644" s="12"/>
      <c r="M644" s="11"/>
      <c r="N644" s="11"/>
      <c r="O644" s="11"/>
      <c r="P644" s="11"/>
    </row>
    <row r="645" spans="1:16" x14ac:dyDescent="0.25">
      <c r="A645" s="696">
        <v>56212</v>
      </c>
      <c r="B645" s="696">
        <v>1322</v>
      </c>
      <c r="C645" s="696">
        <v>100</v>
      </c>
      <c r="D645" s="696">
        <v>2200</v>
      </c>
      <c r="F645" s="700" t="s">
        <v>1283</v>
      </c>
      <c r="G645" s="701">
        <v>102</v>
      </c>
      <c r="H645" s="12" t="s">
        <v>968</v>
      </c>
      <c r="I645" s="12" t="s">
        <v>893</v>
      </c>
      <c r="J645" s="12" t="s">
        <v>906</v>
      </c>
      <c r="K645" s="12" t="s">
        <v>895</v>
      </c>
      <c r="L645" s="12"/>
      <c r="M645" s="11"/>
      <c r="N645" s="11"/>
      <c r="O645" s="11"/>
      <c r="P645" s="11"/>
    </row>
    <row r="646" spans="1:16" x14ac:dyDescent="0.25">
      <c r="A646" s="696">
        <v>56213</v>
      </c>
      <c r="B646" s="696">
        <v>1322</v>
      </c>
      <c r="C646" s="696">
        <v>100</v>
      </c>
      <c r="D646" s="696">
        <v>2200</v>
      </c>
      <c r="F646" s="700" t="s">
        <v>1284</v>
      </c>
      <c r="G646" s="701">
        <v>47.6</v>
      </c>
      <c r="H646" s="12" t="s">
        <v>968</v>
      </c>
      <c r="I646" s="12" t="s">
        <v>893</v>
      </c>
      <c r="J646" s="12" t="s">
        <v>906</v>
      </c>
      <c r="K646" s="12" t="s">
        <v>895</v>
      </c>
      <c r="L646" s="12"/>
      <c r="M646" s="11"/>
      <c r="N646" s="11"/>
      <c r="O646" s="11"/>
      <c r="P646" s="11"/>
    </row>
    <row r="647" spans="1:16" x14ac:dyDescent="0.25">
      <c r="A647" s="696">
        <v>56214</v>
      </c>
      <c r="B647" s="696">
        <v>1322</v>
      </c>
      <c r="C647" s="696">
        <v>100</v>
      </c>
      <c r="D647" s="696">
        <v>2200</v>
      </c>
      <c r="F647" s="700" t="s">
        <v>1285</v>
      </c>
      <c r="G647" s="701">
        <v>248.88</v>
      </c>
      <c r="H647" s="12" t="s">
        <v>968</v>
      </c>
      <c r="I647" s="12" t="s">
        <v>893</v>
      </c>
      <c r="J647" s="12" t="s">
        <v>906</v>
      </c>
      <c r="K647" s="12" t="s">
        <v>895</v>
      </c>
      <c r="L647" s="12"/>
      <c r="M647" s="11"/>
      <c r="N647" s="11"/>
      <c r="O647" s="11"/>
      <c r="P647" s="11"/>
    </row>
    <row r="648" spans="1:16" x14ac:dyDescent="0.25">
      <c r="A648" s="696">
        <v>56221</v>
      </c>
      <c r="B648" s="696">
        <v>1322</v>
      </c>
      <c r="C648" s="696">
        <v>100</v>
      </c>
      <c r="D648" s="696">
        <v>2200</v>
      </c>
      <c r="F648" s="700" t="s">
        <v>1286</v>
      </c>
      <c r="G648" s="701">
        <v>6289.63</v>
      </c>
      <c r="H648" s="12" t="s">
        <v>968</v>
      </c>
      <c r="I648" s="12" t="s">
        <v>893</v>
      </c>
      <c r="J648" s="12" t="s">
        <v>906</v>
      </c>
      <c r="K648" s="12" t="s">
        <v>895</v>
      </c>
      <c r="L648" s="12"/>
      <c r="M648" s="11"/>
      <c r="N648" s="11"/>
      <c r="O648" s="11"/>
      <c r="P648" s="11"/>
    </row>
    <row r="649" spans="1:16" x14ac:dyDescent="0.25">
      <c r="A649" s="696">
        <v>56222</v>
      </c>
      <c r="B649" s="696">
        <v>1487</v>
      </c>
      <c r="C649" s="696">
        <v>100</v>
      </c>
      <c r="D649" s="696">
        <v>2100</v>
      </c>
      <c r="F649" s="700" t="s">
        <v>1287</v>
      </c>
      <c r="G649" s="701">
        <v>946.02</v>
      </c>
      <c r="H649" s="12" t="s">
        <v>995</v>
      </c>
      <c r="I649" s="12" t="s">
        <v>893</v>
      </c>
      <c r="J649" s="12" t="s">
        <v>902</v>
      </c>
      <c r="K649" s="12" t="s">
        <v>895</v>
      </c>
      <c r="L649" s="12"/>
      <c r="M649" s="11"/>
      <c r="N649" s="11"/>
      <c r="O649" s="11"/>
      <c r="P649" s="11"/>
    </row>
    <row r="650" spans="1:16" x14ac:dyDescent="0.25">
      <c r="A650" s="696">
        <v>56222</v>
      </c>
      <c r="B650" s="696">
        <v>1531</v>
      </c>
      <c r="C650" s="696">
        <v>100</v>
      </c>
      <c r="D650" s="696">
        <v>2200</v>
      </c>
      <c r="F650" s="700" t="s">
        <v>1287</v>
      </c>
      <c r="G650" s="701">
        <v>7144.17</v>
      </c>
      <c r="H650" s="12" t="s">
        <v>997</v>
      </c>
      <c r="I650" s="12" t="s">
        <v>893</v>
      </c>
      <c r="J650" s="12" t="s">
        <v>906</v>
      </c>
      <c r="K650" s="12" t="s">
        <v>895</v>
      </c>
      <c r="L650" s="12"/>
      <c r="M650" s="11"/>
      <c r="N650" s="11"/>
      <c r="O650" s="11"/>
      <c r="P650" s="11"/>
    </row>
    <row r="651" spans="1:16" x14ac:dyDescent="0.25">
      <c r="A651" s="696">
        <v>56222</v>
      </c>
      <c r="B651" s="696">
        <v>1531</v>
      </c>
      <c r="C651" s="696">
        <v>100</v>
      </c>
      <c r="D651" s="696">
        <v>2500</v>
      </c>
      <c r="F651" s="700" t="s">
        <v>1287</v>
      </c>
      <c r="G651" s="701">
        <v>53.91</v>
      </c>
      <c r="H651" s="12" t="s">
        <v>997</v>
      </c>
      <c r="I651" s="12" t="s">
        <v>893</v>
      </c>
      <c r="J651" s="12" t="s">
        <v>926</v>
      </c>
      <c r="K651" s="12" t="s">
        <v>895</v>
      </c>
      <c r="L651" s="12"/>
      <c r="M651" s="11"/>
      <c r="N651" s="11"/>
      <c r="O651" s="11"/>
      <c r="P651" s="11"/>
    </row>
    <row r="652" spans="1:16" x14ac:dyDescent="0.25">
      <c r="A652" s="696">
        <v>56222</v>
      </c>
      <c r="B652" s="696">
        <v>1532</v>
      </c>
      <c r="C652" s="696">
        <v>100</v>
      </c>
      <c r="D652" s="696">
        <v>1000</v>
      </c>
      <c r="F652" s="700" t="s">
        <v>1287</v>
      </c>
      <c r="G652" s="701">
        <v>846.78</v>
      </c>
      <c r="H652" s="12" t="s">
        <v>997</v>
      </c>
      <c r="I652" s="12" t="s">
        <v>893</v>
      </c>
      <c r="J652" s="12" t="s">
        <v>894</v>
      </c>
      <c r="K652" s="12" t="s">
        <v>895</v>
      </c>
      <c r="L652" s="12"/>
      <c r="M652" s="11"/>
      <c r="N652" s="11"/>
      <c r="O652" s="11"/>
      <c r="P652" s="11"/>
    </row>
    <row r="653" spans="1:16" x14ac:dyDescent="0.25">
      <c r="A653" s="696">
        <v>56222</v>
      </c>
      <c r="B653" s="696">
        <v>1532</v>
      </c>
      <c r="C653" s="696">
        <v>100</v>
      </c>
      <c r="D653" s="696">
        <v>2200</v>
      </c>
      <c r="F653" s="700" t="s">
        <v>1287</v>
      </c>
      <c r="G653" s="701">
        <v>4.6399999999999997</v>
      </c>
      <c r="H653" s="12" t="s">
        <v>997</v>
      </c>
      <c r="I653" s="12" t="s">
        <v>893</v>
      </c>
      <c r="J653" s="12" t="s">
        <v>906</v>
      </c>
      <c r="K653" s="12" t="s">
        <v>895</v>
      </c>
      <c r="L653" s="12"/>
      <c r="M653" s="11"/>
      <c r="N653" s="11"/>
      <c r="O653" s="11"/>
      <c r="P653" s="11"/>
    </row>
    <row r="654" spans="1:16" x14ac:dyDescent="0.25">
      <c r="A654" s="696">
        <v>56222</v>
      </c>
      <c r="B654" s="696">
        <v>1532</v>
      </c>
      <c r="C654" s="696">
        <v>100</v>
      </c>
      <c r="D654" s="696">
        <v>2500</v>
      </c>
      <c r="F654" s="700" t="s">
        <v>1287</v>
      </c>
      <c r="G654" s="701">
        <v>265.52999999999997</v>
      </c>
      <c r="H654" s="12" t="s">
        <v>997</v>
      </c>
      <c r="I654" s="12" t="s">
        <v>893</v>
      </c>
      <c r="J654" s="12" t="s">
        <v>926</v>
      </c>
      <c r="K654" s="12" t="s">
        <v>895</v>
      </c>
      <c r="L654" s="12"/>
      <c r="M654" s="11"/>
      <c r="N654" s="11"/>
      <c r="O654" s="11"/>
      <c r="P654" s="11"/>
    </row>
    <row r="655" spans="1:16" x14ac:dyDescent="0.25">
      <c r="A655" s="696">
        <v>56222</v>
      </c>
      <c r="B655" s="696">
        <v>1534</v>
      </c>
      <c r="C655" s="696">
        <v>100</v>
      </c>
      <c r="D655" s="696">
        <v>2700</v>
      </c>
      <c r="F655" s="700" t="s">
        <v>1287</v>
      </c>
      <c r="G655" s="701">
        <v>1.28</v>
      </c>
      <c r="H655" s="12" t="s">
        <v>997</v>
      </c>
      <c r="I655" s="12" t="s">
        <v>913</v>
      </c>
      <c r="J655" s="12" t="s">
        <v>934</v>
      </c>
      <c r="K655" s="12" t="s">
        <v>895</v>
      </c>
      <c r="L655" s="12"/>
      <c r="M655" s="11"/>
      <c r="N655" s="11"/>
      <c r="O655" s="11"/>
      <c r="P655" s="11"/>
    </row>
    <row r="656" spans="1:16" x14ac:dyDescent="0.25">
      <c r="A656" s="696">
        <v>56222</v>
      </c>
      <c r="B656" s="696">
        <v>1534</v>
      </c>
      <c r="C656" s="696">
        <v>400</v>
      </c>
      <c r="D656" s="696">
        <v>2700</v>
      </c>
      <c r="F656" s="700" t="s">
        <v>1287</v>
      </c>
      <c r="G656" s="701">
        <v>110.77</v>
      </c>
      <c r="H656" s="12" t="s">
        <v>997</v>
      </c>
      <c r="I656" s="12" t="s">
        <v>913</v>
      </c>
      <c r="J656" s="12" t="s">
        <v>934</v>
      </c>
      <c r="K656" s="12" t="s">
        <v>895</v>
      </c>
      <c r="L656" s="12"/>
      <c r="M656" s="11"/>
      <c r="N656" s="11"/>
      <c r="O656" s="11"/>
      <c r="P656" s="11"/>
    </row>
    <row r="657" spans="1:16" x14ac:dyDescent="0.25">
      <c r="A657" s="696">
        <v>56222</v>
      </c>
      <c r="B657" s="696">
        <v>1536</v>
      </c>
      <c r="C657" s="696">
        <v>100</v>
      </c>
      <c r="D657" s="696">
        <v>2200</v>
      </c>
      <c r="F657" s="700" t="s">
        <v>1287</v>
      </c>
      <c r="G657" s="701">
        <v>59.76</v>
      </c>
      <c r="H657" s="12" t="s">
        <v>997</v>
      </c>
      <c r="I657" s="12" t="s">
        <v>893</v>
      </c>
      <c r="J657" s="12" t="s">
        <v>906</v>
      </c>
      <c r="K657" s="12" t="s">
        <v>895</v>
      </c>
      <c r="L657" s="12"/>
      <c r="M657" s="11"/>
      <c r="N657" s="11"/>
      <c r="O657" s="11"/>
      <c r="P657" s="11"/>
    </row>
    <row r="658" spans="1:16" x14ac:dyDescent="0.25">
      <c r="A658" s="696">
        <v>56222</v>
      </c>
      <c r="B658" s="696">
        <v>1536</v>
      </c>
      <c r="C658" s="696">
        <v>100</v>
      </c>
      <c r="D658" s="696">
        <v>2300</v>
      </c>
      <c r="F658" s="700" t="s">
        <v>1287</v>
      </c>
      <c r="G658" s="701">
        <v>108.04</v>
      </c>
      <c r="H658" s="12" t="s">
        <v>997</v>
      </c>
      <c r="I658" s="12" t="s">
        <v>893</v>
      </c>
      <c r="J658" s="12" t="s">
        <v>918</v>
      </c>
      <c r="K658" s="12" t="s">
        <v>895</v>
      </c>
      <c r="L658" s="12"/>
      <c r="M658" s="11"/>
      <c r="N658" s="11"/>
      <c r="O658" s="11"/>
      <c r="P658" s="11"/>
    </row>
    <row r="659" spans="1:16" x14ac:dyDescent="0.25">
      <c r="A659" s="696">
        <v>56222</v>
      </c>
      <c r="B659" s="696">
        <v>1536</v>
      </c>
      <c r="C659" s="696">
        <v>100</v>
      </c>
      <c r="D659" s="696">
        <v>2500</v>
      </c>
      <c r="F659" s="700" t="s">
        <v>1287</v>
      </c>
      <c r="G659" s="701">
        <v>930.78</v>
      </c>
      <c r="H659" s="12" t="s">
        <v>997</v>
      </c>
      <c r="I659" s="12" t="s">
        <v>893</v>
      </c>
      <c r="J659" s="12" t="s">
        <v>926</v>
      </c>
      <c r="K659" s="12" t="s">
        <v>895</v>
      </c>
      <c r="L659" s="12"/>
      <c r="M659" s="11"/>
      <c r="N659" s="11"/>
      <c r="O659" s="11"/>
      <c r="P659" s="11"/>
    </row>
    <row r="660" spans="1:16" x14ac:dyDescent="0.25">
      <c r="A660" s="696">
        <v>56222</v>
      </c>
      <c r="B660" s="696">
        <v>1540</v>
      </c>
      <c r="C660" s="696">
        <v>100</v>
      </c>
      <c r="D660" s="696">
        <v>1000</v>
      </c>
      <c r="F660" s="700" t="s">
        <v>1287</v>
      </c>
      <c r="G660" s="701">
        <v>272.01</v>
      </c>
      <c r="H660" s="12" t="s">
        <v>997</v>
      </c>
      <c r="I660" s="12" t="s">
        <v>893</v>
      </c>
      <c r="J660" s="12" t="s">
        <v>894</v>
      </c>
      <c r="K660" s="12" t="s">
        <v>895</v>
      </c>
      <c r="L660" s="12"/>
      <c r="M660" s="11"/>
      <c r="N660" s="11"/>
      <c r="O660" s="11"/>
      <c r="P660" s="11"/>
    </row>
    <row r="661" spans="1:16" x14ac:dyDescent="0.25">
      <c r="A661" s="696">
        <v>56222</v>
      </c>
      <c r="B661" s="696">
        <v>1540</v>
      </c>
      <c r="C661" s="696">
        <v>100</v>
      </c>
      <c r="D661" s="696">
        <v>2500</v>
      </c>
      <c r="F661" s="700" t="s">
        <v>1287</v>
      </c>
      <c r="G661" s="701">
        <v>574.25</v>
      </c>
      <c r="H661" s="12" t="s">
        <v>997</v>
      </c>
      <c r="I661" s="12" t="s">
        <v>893</v>
      </c>
      <c r="J661" s="12" t="s">
        <v>926</v>
      </c>
      <c r="K661" s="12" t="s">
        <v>895</v>
      </c>
      <c r="L661" s="12"/>
      <c r="M661" s="11"/>
      <c r="N661" s="11"/>
      <c r="O661" s="11"/>
      <c r="P661" s="11"/>
    </row>
    <row r="662" spans="1:16" x14ac:dyDescent="0.25">
      <c r="A662" s="696">
        <v>56222</v>
      </c>
      <c r="B662" s="696">
        <v>1756</v>
      </c>
      <c r="C662" s="696">
        <v>615</v>
      </c>
      <c r="D662" s="696">
        <v>1000</v>
      </c>
      <c r="F662" s="700" t="s">
        <v>1287</v>
      </c>
      <c r="G662" s="701">
        <v>57.58</v>
      </c>
      <c r="H662" s="12" t="s">
        <v>997</v>
      </c>
      <c r="I662" s="12" t="s">
        <v>937</v>
      </c>
      <c r="J662" s="12" t="s">
        <v>894</v>
      </c>
      <c r="K662" s="12" t="s">
        <v>895</v>
      </c>
      <c r="L662" s="12"/>
      <c r="M662" s="11"/>
      <c r="N662" s="11"/>
      <c r="O662" s="11"/>
      <c r="P662" s="11"/>
    </row>
    <row r="663" spans="1:16" x14ac:dyDescent="0.25">
      <c r="A663" s="696">
        <v>56222</v>
      </c>
      <c r="B663" s="696">
        <v>1766</v>
      </c>
      <c r="C663" s="696">
        <v>615</v>
      </c>
      <c r="D663" s="696">
        <v>1000</v>
      </c>
      <c r="F663" s="700" t="s">
        <v>1287</v>
      </c>
      <c r="G663" s="701">
        <v>28.35</v>
      </c>
      <c r="H663" s="12" t="s">
        <v>997</v>
      </c>
      <c r="I663" s="12" t="s">
        <v>937</v>
      </c>
      <c r="J663" s="12" t="s">
        <v>894</v>
      </c>
      <c r="K663" s="12" t="s">
        <v>895</v>
      </c>
      <c r="L663" s="12"/>
      <c r="M663" s="11"/>
      <c r="N663" s="11"/>
      <c r="O663" s="11"/>
      <c r="P663" s="11"/>
    </row>
    <row r="664" spans="1:16" x14ac:dyDescent="0.25">
      <c r="A664" s="696">
        <v>56222</v>
      </c>
      <c r="B664" s="696">
        <v>1769</v>
      </c>
      <c r="C664" s="696">
        <v>615</v>
      </c>
      <c r="D664" s="696">
        <v>1000</v>
      </c>
      <c r="F664" s="700" t="s">
        <v>1287</v>
      </c>
      <c r="G664" s="701">
        <v>14.42</v>
      </c>
      <c r="H664" s="12" t="s">
        <v>997</v>
      </c>
      <c r="I664" s="12" t="s">
        <v>937</v>
      </c>
      <c r="J664" s="12" t="s">
        <v>894</v>
      </c>
      <c r="K664" s="12" t="s">
        <v>895</v>
      </c>
      <c r="L664" s="12"/>
      <c r="M664" s="11"/>
      <c r="N664" s="11"/>
      <c r="O664" s="11"/>
      <c r="P664" s="11"/>
    </row>
    <row r="665" spans="1:16" x14ac:dyDescent="0.25">
      <c r="A665" s="696">
        <v>56222</v>
      </c>
      <c r="B665" s="696">
        <v>1772</v>
      </c>
      <c r="C665" s="696">
        <v>615</v>
      </c>
      <c r="D665" s="696">
        <v>1000</v>
      </c>
      <c r="F665" s="700" t="s">
        <v>1287</v>
      </c>
      <c r="G665" s="701">
        <v>49.85</v>
      </c>
      <c r="H665" s="12" t="s">
        <v>997</v>
      </c>
      <c r="I665" s="12" t="s">
        <v>937</v>
      </c>
      <c r="J665" s="12" t="s">
        <v>894</v>
      </c>
      <c r="K665" s="12" t="s">
        <v>895</v>
      </c>
      <c r="L665" s="12"/>
      <c r="M665" s="11"/>
      <c r="N665" s="11"/>
      <c r="O665" s="11"/>
      <c r="P665" s="11"/>
    </row>
    <row r="666" spans="1:16" x14ac:dyDescent="0.25">
      <c r="A666" s="696">
        <v>56222</v>
      </c>
      <c r="B666" s="696">
        <v>1774</v>
      </c>
      <c r="C666" s="696">
        <v>615</v>
      </c>
      <c r="D666" s="696">
        <v>1000</v>
      </c>
      <c r="F666" s="700" t="s">
        <v>1287</v>
      </c>
      <c r="G666" s="701">
        <v>57.9</v>
      </c>
      <c r="H666" s="12" t="s">
        <v>997</v>
      </c>
      <c r="I666" s="12" t="s">
        <v>937</v>
      </c>
      <c r="J666" s="12" t="s">
        <v>894</v>
      </c>
      <c r="K666" s="12" t="s">
        <v>895</v>
      </c>
      <c r="L666" s="12"/>
      <c r="M666" s="11"/>
      <c r="N666" s="11"/>
      <c r="O666" s="11"/>
      <c r="P666" s="11"/>
    </row>
    <row r="667" spans="1:16" x14ac:dyDescent="0.25">
      <c r="A667" s="696">
        <v>56222</v>
      </c>
      <c r="B667" s="696">
        <v>1782</v>
      </c>
      <c r="C667" s="696">
        <v>615</v>
      </c>
      <c r="D667" s="696">
        <v>1000</v>
      </c>
      <c r="F667" s="700" t="s">
        <v>1287</v>
      </c>
      <c r="G667" s="701">
        <v>28.38</v>
      </c>
      <c r="H667" s="12" t="s">
        <v>997</v>
      </c>
      <c r="I667" s="12" t="s">
        <v>937</v>
      </c>
      <c r="J667" s="12" t="s">
        <v>894</v>
      </c>
      <c r="K667" s="12" t="s">
        <v>895</v>
      </c>
      <c r="L667" s="12"/>
      <c r="M667" s="11"/>
      <c r="N667" s="11"/>
      <c r="O667" s="11"/>
      <c r="P667" s="11"/>
    </row>
    <row r="668" spans="1:16" x14ac:dyDescent="0.25">
      <c r="A668" s="696">
        <v>56222</v>
      </c>
      <c r="B668" s="696">
        <v>1784</v>
      </c>
      <c r="C668" s="696">
        <v>615</v>
      </c>
      <c r="D668" s="696">
        <v>1000</v>
      </c>
      <c r="F668" s="700" t="s">
        <v>1287</v>
      </c>
      <c r="G668" s="701">
        <v>14.42</v>
      </c>
      <c r="H668" s="12" t="s">
        <v>997</v>
      </c>
      <c r="I668" s="12" t="s">
        <v>937</v>
      </c>
      <c r="J668" s="12" t="s">
        <v>894</v>
      </c>
      <c r="K668" s="12" t="s">
        <v>895</v>
      </c>
      <c r="L668" s="12"/>
      <c r="M668" s="11"/>
      <c r="N668" s="11"/>
      <c r="O668" s="11"/>
      <c r="P668" s="11"/>
    </row>
    <row r="669" spans="1:16" x14ac:dyDescent="0.25">
      <c r="A669" s="696">
        <v>56222</v>
      </c>
      <c r="B669" s="696">
        <v>1785</v>
      </c>
      <c r="C669" s="696">
        <v>615</v>
      </c>
      <c r="D669" s="696">
        <v>1000</v>
      </c>
      <c r="F669" s="700" t="s">
        <v>1287</v>
      </c>
      <c r="G669" s="701">
        <v>28.45</v>
      </c>
      <c r="H669" s="12" t="s">
        <v>997</v>
      </c>
      <c r="I669" s="12" t="s">
        <v>937</v>
      </c>
      <c r="J669" s="12" t="s">
        <v>894</v>
      </c>
      <c r="K669" s="12" t="s">
        <v>895</v>
      </c>
      <c r="L669" s="12"/>
      <c r="M669" s="11"/>
      <c r="N669" s="11"/>
      <c r="O669" s="11"/>
      <c r="P669" s="11"/>
    </row>
    <row r="670" spans="1:16" x14ac:dyDescent="0.25">
      <c r="A670" s="696">
        <v>56222</v>
      </c>
      <c r="B670" s="696">
        <v>1788</v>
      </c>
      <c r="C670" s="696">
        <v>615</v>
      </c>
      <c r="D670" s="696">
        <v>1000</v>
      </c>
      <c r="F670" s="700" t="s">
        <v>1287</v>
      </c>
      <c r="G670" s="701">
        <v>14.5</v>
      </c>
      <c r="H670" s="12" t="s">
        <v>997</v>
      </c>
      <c r="I670" s="12" t="s">
        <v>937</v>
      </c>
      <c r="J670" s="12" t="s">
        <v>894</v>
      </c>
      <c r="K670" s="12" t="s">
        <v>895</v>
      </c>
      <c r="L670" s="12"/>
      <c r="M670" s="11"/>
      <c r="N670" s="11"/>
      <c r="O670" s="11"/>
      <c r="P670" s="11"/>
    </row>
    <row r="671" spans="1:16" x14ac:dyDescent="0.25">
      <c r="A671" s="696">
        <v>56222</v>
      </c>
      <c r="B671" s="696">
        <v>1795</v>
      </c>
      <c r="C671" s="696">
        <v>615</v>
      </c>
      <c r="D671" s="696">
        <v>1000</v>
      </c>
      <c r="F671" s="700" t="s">
        <v>1287</v>
      </c>
      <c r="G671" s="701">
        <v>12.89</v>
      </c>
      <c r="H671" s="12" t="s">
        <v>997</v>
      </c>
      <c r="I671" s="12" t="s">
        <v>937</v>
      </c>
      <c r="J671" s="12" t="s">
        <v>894</v>
      </c>
      <c r="K671" s="12" t="s">
        <v>895</v>
      </c>
      <c r="L671" s="12"/>
      <c r="M671" s="11"/>
      <c r="N671" s="11"/>
      <c r="O671" s="11"/>
      <c r="P671" s="11"/>
    </row>
    <row r="672" spans="1:16" x14ac:dyDescent="0.25">
      <c r="A672" s="696">
        <v>56222</v>
      </c>
      <c r="B672" s="696">
        <v>1798</v>
      </c>
      <c r="C672" s="696">
        <v>615</v>
      </c>
      <c r="D672" s="696">
        <v>1000</v>
      </c>
      <c r="F672" s="700" t="s">
        <v>1287</v>
      </c>
      <c r="G672" s="701">
        <v>14.5</v>
      </c>
      <c r="H672" s="12" t="s">
        <v>997</v>
      </c>
      <c r="I672" s="12" t="s">
        <v>937</v>
      </c>
      <c r="J672" s="12" t="s">
        <v>894</v>
      </c>
      <c r="K672" s="12" t="s">
        <v>895</v>
      </c>
      <c r="L672" s="12"/>
      <c r="M672" s="11"/>
      <c r="N672" s="11"/>
      <c r="O672" s="11"/>
      <c r="P672" s="11"/>
    </row>
    <row r="673" spans="1:16" x14ac:dyDescent="0.25">
      <c r="A673" s="696">
        <v>56222</v>
      </c>
      <c r="B673" s="696">
        <v>1801</v>
      </c>
      <c r="C673" s="696">
        <v>615</v>
      </c>
      <c r="D673" s="696">
        <v>1000</v>
      </c>
      <c r="F673" s="700" t="s">
        <v>1287</v>
      </c>
      <c r="G673" s="701">
        <v>29</v>
      </c>
      <c r="H673" s="12" t="s">
        <v>997</v>
      </c>
      <c r="I673" s="12" t="s">
        <v>937</v>
      </c>
      <c r="J673" s="12" t="s">
        <v>894</v>
      </c>
      <c r="K673" s="12" t="s">
        <v>895</v>
      </c>
      <c r="L673" s="12"/>
      <c r="M673" s="11"/>
      <c r="N673" s="11"/>
      <c r="O673" s="11"/>
      <c r="P673" s="11"/>
    </row>
    <row r="674" spans="1:16" x14ac:dyDescent="0.25">
      <c r="A674" s="696">
        <v>56222</v>
      </c>
      <c r="B674" s="696">
        <v>1802</v>
      </c>
      <c r="C674" s="696">
        <v>615</v>
      </c>
      <c r="D674" s="696">
        <v>1000</v>
      </c>
      <c r="F674" s="700" t="s">
        <v>1287</v>
      </c>
      <c r="G674" s="701">
        <v>14.14</v>
      </c>
      <c r="H674" s="12" t="s">
        <v>997</v>
      </c>
      <c r="I674" s="12" t="s">
        <v>937</v>
      </c>
      <c r="J674" s="12" t="s">
        <v>894</v>
      </c>
      <c r="K674" s="12" t="s">
        <v>895</v>
      </c>
      <c r="L674" s="12"/>
      <c r="M674" s="11"/>
      <c r="N674" s="11"/>
      <c r="O674" s="11"/>
      <c r="P674" s="11"/>
    </row>
    <row r="675" spans="1:16" x14ac:dyDescent="0.25">
      <c r="A675" s="696">
        <v>56222</v>
      </c>
      <c r="B675" s="696">
        <v>1805</v>
      </c>
      <c r="C675" s="696">
        <v>615</v>
      </c>
      <c r="D675" s="696">
        <v>1000</v>
      </c>
      <c r="F675" s="700" t="s">
        <v>1287</v>
      </c>
      <c r="G675" s="701">
        <v>7.2</v>
      </c>
      <c r="H675" s="12" t="s">
        <v>997</v>
      </c>
      <c r="I675" s="12" t="s">
        <v>937</v>
      </c>
      <c r="J675" s="12" t="s">
        <v>894</v>
      </c>
      <c r="K675" s="12" t="s">
        <v>895</v>
      </c>
      <c r="L675" s="12"/>
      <c r="M675" s="11"/>
      <c r="N675" s="11"/>
      <c r="O675" s="11"/>
      <c r="P675" s="11"/>
    </row>
    <row r="676" spans="1:16" x14ac:dyDescent="0.25">
      <c r="A676" s="696">
        <v>56222</v>
      </c>
      <c r="B676" s="696">
        <v>1808</v>
      </c>
      <c r="C676" s="696">
        <v>615</v>
      </c>
      <c r="D676" s="696">
        <v>1000</v>
      </c>
      <c r="F676" s="700" t="s">
        <v>1287</v>
      </c>
      <c r="G676" s="701">
        <v>35.950000000000003</v>
      </c>
      <c r="H676" s="12" t="s">
        <v>997</v>
      </c>
      <c r="I676" s="12" t="s">
        <v>937</v>
      </c>
      <c r="J676" s="12" t="s">
        <v>894</v>
      </c>
      <c r="K676" s="12" t="s">
        <v>895</v>
      </c>
      <c r="L676" s="12"/>
      <c r="M676" s="11"/>
      <c r="N676" s="11"/>
      <c r="O676" s="11"/>
      <c r="P676" s="11"/>
    </row>
    <row r="677" spans="1:16" x14ac:dyDescent="0.25">
      <c r="A677" s="696">
        <v>56222</v>
      </c>
      <c r="B677" s="696">
        <v>1810</v>
      </c>
      <c r="C677" s="696">
        <v>615</v>
      </c>
      <c r="D677" s="696">
        <v>1000</v>
      </c>
      <c r="F677" s="700" t="s">
        <v>1287</v>
      </c>
      <c r="G677" s="701">
        <v>57.46</v>
      </c>
      <c r="H677" s="12" t="s">
        <v>997</v>
      </c>
      <c r="I677" s="12" t="s">
        <v>937</v>
      </c>
      <c r="J677" s="12" t="s">
        <v>894</v>
      </c>
      <c r="K677" s="12" t="s">
        <v>895</v>
      </c>
      <c r="L677" s="12"/>
      <c r="M677" s="11"/>
      <c r="N677" s="11"/>
      <c r="O677" s="11"/>
      <c r="P677" s="11"/>
    </row>
    <row r="678" spans="1:16" x14ac:dyDescent="0.25">
      <c r="A678" s="696">
        <v>56222</v>
      </c>
      <c r="B678" s="696">
        <v>1812</v>
      </c>
      <c r="C678" s="696">
        <v>615</v>
      </c>
      <c r="D678" s="696">
        <v>1000</v>
      </c>
      <c r="F678" s="700" t="s">
        <v>1287</v>
      </c>
      <c r="G678" s="701">
        <v>85.24</v>
      </c>
      <c r="H678" s="12" t="s">
        <v>997</v>
      </c>
      <c r="I678" s="12" t="s">
        <v>937</v>
      </c>
      <c r="J678" s="12" t="s">
        <v>894</v>
      </c>
      <c r="K678" s="12" t="s">
        <v>895</v>
      </c>
      <c r="L678" s="12"/>
      <c r="M678" s="11"/>
      <c r="N678" s="11"/>
      <c r="O678" s="11"/>
      <c r="P678" s="11"/>
    </row>
    <row r="679" spans="1:16" x14ac:dyDescent="0.25">
      <c r="A679" s="696">
        <v>56222</v>
      </c>
      <c r="B679" s="696">
        <v>1817</v>
      </c>
      <c r="C679" s="696">
        <v>615</v>
      </c>
      <c r="D679" s="696">
        <v>1000</v>
      </c>
      <c r="F679" s="700" t="s">
        <v>1287</v>
      </c>
      <c r="G679" s="701">
        <v>14.45</v>
      </c>
      <c r="H679" s="12" t="s">
        <v>997</v>
      </c>
      <c r="I679" s="12" t="s">
        <v>937</v>
      </c>
      <c r="J679" s="12" t="s">
        <v>894</v>
      </c>
      <c r="K679" s="12" t="s">
        <v>895</v>
      </c>
      <c r="L679" s="12"/>
      <c r="M679" s="11"/>
      <c r="N679" s="11"/>
      <c r="O679" s="11"/>
      <c r="P679" s="11"/>
    </row>
    <row r="680" spans="1:16" x14ac:dyDescent="0.25">
      <c r="A680" s="696">
        <v>56222</v>
      </c>
      <c r="B680" s="696">
        <v>1818</v>
      </c>
      <c r="C680" s="696">
        <v>615</v>
      </c>
      <c r="D680" s="696">
        <v>1000</v>
      </c>
      <c r="F680" s="700" t="s">
        <v>1287</v>
      </c>
      <c r="G680" s="701">
        <v>14.5</v>
      </c>
      <c r="H680" s="12" t="s">
        <v>997</v>
      </c>
      <c r="I680" s="12" t="s">
        <v>937</v>
      </c>
      <c r="J680" s="12" t="s">
        <v>894</v>
      </c>
      <c r="K680" s="12" t="s">
        <v>895</v>
      </c>
      <c r="L680" s="12"/>
      <c r="M680" s="11"/>
      <c r="N680" s="11"/>
      <c r="O680" s="11"/>
      <c r="P680" s="11"/>
    </row>
    <row r="681" spans="1:16" x14ac:dyDescent="0.25">
      <c r="A681" s="696">
        <v>56222</v>
      </c>
      <c r="B681" s="696">
        <v>1823</v>
      </c>
      <c r="C681" s="696">
        <v>615</v>
      </c>
      <c r="D681" s="696">
        <v>1000</v>
      </c>
      <c r="F681" s="700" t="s">
        <v>1287</v>
      </c>
      <c r="G681" s="701">
        <v>14.43</v>
      </c>
      <c r="H681" s="12" t="s">
        <v>997</v>
      </c>
      <c r="I681" s="12" t="s">
        <v>937</v>
      </c>
      <c r="J681" s="12" t="s">
        <v>894</v>
      </c>
      <c r="K681" s="12" t="s">
        <v>895</v>
      </c>
      <c r="L681" s="12"/>
      <c r="M681" s="11"/>
      <c r="N681" s="11"/>
      <c r="O681" s="11"/>
      <c r="P681" s="11"/>
    </row>
    <row r="682" spans="1:16" x14ac:dyDescent="0.25">
      <c r="A682" s="696">
        <v>56222</v>
      </c>
      <c r="B682" s="696">
        <v>1833</v>
      </c>
      <c r="C682" s="696">
        <v>615</v>
      </c>
      <c r="D682" s="696">
        <v>1000</v>
      </c>
      <c r="F682" s="700" t="s">
        <v>1287</v>
      </c>
      <c r="G682" s="701">
        <v>57.72</v>
      </c>
      <c r="H682" s="12" t="s">
        <v>997</v>
      </c>
      <c r="I682" s="12" t="s">
        <v>937</v>
      </c>
      <c r="J682" s="12" t="s">
        <v>894</v>
      </c>
      <c r="K682" s="12" t="s">
        <v>895</v>
      </c>
      <c r="L682" s="12"/>
      <c r="M682" s="11"/>
      <c r="N682" s="11"/>
      <c r="O682" s="11"/>
      <c r="P682" s="11"/>
    </row>
    <row r="683" spans="1:16" x14ac:dyDescent="0.25">
      <c r="A683" s="696">
        <v>56222</v>
      </c>
      <c r="B683" s="696">
        <v>1834</v>
      </c>
      <c r="C683" s="696">
        <v>615</v>
      </c>
      <c r="D683" s="696">
        <v>1000</v>
      </c>
      <c r="F683" s="700" t="s">
        <v>1287</v>
      </c>
      <c r="G683" s="701">
        <v>14.32</v>
      </c>
      <c r="H683" s="12" t="s">
        <v>997</v>
      </c>
      <c r="I683" s="12" t="s">
        <v>937</v>
      </c>
      <c r="J683" s="12" t="s">
        <v>894</v>
      </c>
      <c r="K683" s="12" t="s">
        <v>895</v>
      </c>
      <c r="L683" s="12"/>
      <c r="M683" s="11"/>
      <c r="N683" s="11"/>
      <c r="O683" s="11"/>
      <c r="P683" s="11"/>
    </row>
    <row r="684" spans="1:16" x14ac:dyDescent="0.25">
      <c r="A684" s="696">
        <v>56222</v>
      </c>
      <c r="B684" s="696">
        <v>1835</v>
      </c>
      <c r="C684" s="696">
        <v>615</v>
      </c>
      <c r="D684" s="696">
        <v>1000</v>
      </c>
      <c r="F684" s="700" t="s">
        <v>1287</v>
      </c>
      <c r="G684" s="701">
        <v>13.88</v>
      </c>
      <c r="H684" s="12" t="s">
        <v>997</v>
      </c>
      <c r="I684" s="12" t="s">
        <v>937</v>
      </c>
      <c r="J684" s="12" t="s">
        <v>894</v>
      </c>
      <c r="K684" s="12" t="s">
        <v>895</v>
      </c>
      <c r="L684" s="12"/>
      <c r="M684" s="11"/>
      <c r="N684" s="11"/>
      <c r="O684" s="11"/>
      <c r="P684" s="11"/>
    </row>
    <row r="685" spans="1:16" x14ac:dyDescent="0.25">
      <c r="A685" s="696">
        <v>56222</v>
      </c>
      <c r="B685" s="696">
        <v>1836</v>
      </c>
      <c r="C685" s="696">
        <v>615</v>
      </c>
      <c r="D685" s="696">
        <v>1000</v>
      </c>
      <c r="F685" s="700" t="s">
        <v>1287</v>
      </c>
      <c r="G685" s="701">
        <v>14.05</v>
      </c>
      <c r="H685" s="12" t="s">
        <v>997</v>
      </c>
      <c r="I685" s="12" t="s">
        <v>937</v>
      </c>
      <c r="J685" s="12" t="s">
        <v>894</v>
      </c>
      <c r="K685" s="12" t="s">
        <v>895</v>
      </c>
      <c r="L685" s="12"/>
      <c r="M685" s="11"/>
      <c r="N685" s="11"/>
      <c r="O685" s="11"/>
      <c r="P685" s="11"/>
    </row>
    <row r="686" spans="1:16" x14ac:dyDescent="0.25">
      <c r="A686" s="696">
        <v>56222</v>
      </c>
      <c r="B686" s="696">
        <v>1844</v>
      </c>
      <c r="C686" s="696">
        <v>615</v>
      </c>
      <c r="D686" s="696">
        <v>1000</v>
      </c>
      <c r="F686" s="700" t="s">
        <v>1287</v>
      </c>
      <c r="G686" s="701">
        <v>14.49</v>
      </c>
      <c r="H686" s="12" t="s">
        <v>997</v>
      </c>
      <c r="I686" s="12" t="s">
        <v>937</v>
      </c>
      <c r="J686" s="12" t="s">
        <v>894</v>
      </c>
      <c r="K686" s="12" t="s">
        <v>895</v>
      </c>
      <c r="L686" s="12"/>
      <c r="M686" s="11"/>
      <c r="N686" s="11"/>
      <c r="O686" s="11"/>
      <c r="P686" s="11"/>
    </row>
    <row r="687" spans="1:16" x14ac:dyDescent="0.25">
      <c r="A687" s="696">
        <v>56222</v>
      </c>
      <c r="B687" s="696">
        <v>1853</v>
      </c>
      <c r="C687" s="696">
        <v>615</v>
      </c>
      <c r="D687" s="696">
        <v>1000</v>
      </c>
      <c r="F687" s="700" t="s">
        <v>1287</v>
      </c>
      <c r="G687" s="701">
        <v>27.69</v>
      </c>
      <c r="H687" s="12" t="s">
        <v>997</v>
      </c>
      <c r="I687" s="12" t="s">
        <v>937</v>
      </c>
      <c r="J687" s="12" t="s">
        <v>894</v>
      </c>
      <c r="K687" s="12" t="s">
        <v>895</v>
      </c>
      <c r="L687" s="12"/>
      <c r="M687" s="11"/>
      <c r="N687" s="11"/>
      <c r="O687" s="11"/>
      <c r="P687" s="11"/>
    </row>
    <row r="688" spans="1:16" x14ac:dyDescent="0.25">
      <c r="A688" s="696">
        <v>56222</v>
      </c>
      <c r="B688" s="696">
        <v>1859</v>
      </c>
      <c r="C688" s="696">
        <v>615</v>
      </c>
      <c r="D688" s="696">
        <v>1000</v>
      </c>
      <c r="F688" s="700" t="s">
        <v>1287</v>
      </c>
      <c r="G688" s="701">
        <v>13.52</v>
      </c>
      <c r="H688" s="12" t="s">
        <v>997</v>
      </c>
      <c r="I688" s="12" t="s">
        <v>937</v>
      </c>
      <c r="J688" s="12" t="s">
        <v>894</v>
      </c>
      <c r="K688" s="12" t="s">
        <v>895</v>
      </c>
      <c r="L688" s="12"/>
      <c r="M688" s="11"/>
      <c r="N688" s="11"/>
      <c r="O688" s="11"/>
      <c r="P688" s="11"/>
    </row>
    <row r="689" spans="1:16" x14ac:dyDescent="0.25">
      <c r="A689" s="696">
        <v>56222</v>
      </c>
      <c r="B689" s="696">
        <v>1866</v>
      </c>
      <c r="C689" s="696">
        <v>615</v>
      </c>
      <c r="D689" s="696">
        <v>1000</v>
      </c>
      <c r="F689" s="700" t="s">
        <v>1287</v>
      </c>
      <c r="G689" s="701">
        <v>7.25</v>
      </c>
      <c r="H689" s="12" t="s">
        <v>997</v>
      </c>
      <c r="I689" s="12" t="s">
        <v>937</v>
      </c>
      <c r="J689" s="12" t="s">
        <v>894</v>
      </c>
      <c r="K689" s="12" t="s">
        <v>895</v>
      </c>
      <c r="L689" s="12"/>
      <c r="M689" s="11"/>
      <c r="N689" s="11"/>
      <c r="O689" s="11"/>
      <c r="P689" s="11"/>
    </row>
    <row r="690" spans="1:16" x14ac:dyDescent="0.25">
      <c r="A690" s="696">
        <v>56222</v>
      </c>
      <c r="B690" s="696">
        <v>1867</v>
      </c>
      <c r="C690" s="696">
        <v>615</v>
      </c>
      <c r="D690" s="696">
        <v>1000</v>
      </c>
      <c r="F690" s="700" t="s">
        <v>1287</v>
      </c>
      <c r="G690" s="701">
        <v>18.11</v>
      </c>
      <c r="H690" s="12" t="s">
        <v>997</v>
      </c>
      <c r="I690" s="12" t="s">
        <v>937</v>
      </c>
      <c r="J690" s="12" t="s">
        <v>894</v>
      </c>
      <c r="K690" s="12" t="s">
        <v>895</v>
      </c>
      <c r="L690" s="12"/>
      <c r="M690" s="11"/>
      <c r="N690" s="11"/>
      <c r="O690" s="11"/>
      <c r="P690" s="11"/>
    </row>
    <row r="691" spans="1:16" x14ac:dyDescent="0.25">
      <c r="A691" s="696">
        <v>56222</v>
      </c>
      <c r="B691" s="696">
        <v>1910</v>
      </c>
      <c r="C691" s="696">
        <v>615</v>
      </c>
      <c r="D691" s="696">
        <v>1000</v>
      </c>
      <c r="F691" s="700" t="s">
        <v>1287</v>
      </c>
      <c r="G691" s="701">
        <v>14.07</v>
      </c>
      <c r="H691" s="12" t="s">
        <v>997</v>
      </c>
      <c r="I691" s="12" t="s">
        <v>937</v>
      </c>
      <c r="J691" s="12" t="s">
        <v>894</v>
      </c>
      <c r="K691" s="12" t="s">
        <v>895</v>
      </c>
      <c r="L691" s="12"/>
      <c r="M691" s="11"/>
      <c r="N691" s="11"/>
      <c r="O691" s="11"/>
      <c r="P691" s="11"/>
    </row>
    <row r="692" spans="1:16" x14ac:dyDescent="0.25">
      <c r="A692" s="696">
        <v>56231</v>
      </c>
      <c r="B692" s="696">
        <v>1000</v>
      </c>
      <c r="C692" s="696">
        <v>100</v>
      </c>
      <c r="D692" s="696">
        <v>1000</v>
      </c>
      <c r="F692" s="700" t="s">
        <v>1288</v>
      </c>
      <c r="G692" s="701">
        <v>565655.16</v>
      </c>
      <c r="H692" s="12" t="s">
        <v>889</v>
      </c>
      <c r="I692" s="12" t="s">
        <v>893</v>
      </c>
      <c r="J692" s="12" t="s">
        <v>894</v>
      </c>
      <c r="K692" s="12" t="s">
        <v>895</v>
      </c>
      <c r="L692" s="12"/>
      <c r="M692" s="11"/>
      <c r="N692" s="11"/>
      <c r="O692" s="11"/>
      <c r="P692" s="11"/>
    </row>
    <row r="693" spans="1:16" x14ac:dyDescent="0.25">
      <c r="A693" s="696">
        <v>56231</v>
      </c>
      <c r="B693" s="696">
        <v>1000</v>
      </c>
      <c r="C693" s="696">
        <v>100</v>
      </c>
      <c r="D693" s="696">
        <v>2100</v>
      </c>
      <c r="F693" s="700" t="s">
        <v>1288</v>
      </c>
      <c r="G693" s="701">
        <v>411851.16</v>
      </c>
      <c r="H693" s="12" t="s">
        <v>889</v>
      </c>
      <c r="I693" s="12" t="s">
        <v>893</v>
      </c>
      <c r="J693" s="12" t="s">
        <v>902</v>
      </c>
      <c r="K693" s="12" t="s">
        <v>895</v>
      </c>
      <c r="L693" s="12"/>
      <c r="M693" s="11"/>
      <c r="N693" s="11"/>
      <c r="O693" s="11"/>
      <c r="P693" s="11"/>
    </row>
    <row r="694" spans="1:16" x14ac:dyDescent="0.25">
      <c r="A694" s="696">
        <v>56231</v>
      </c>
      <c r="B694" s="696">
        <v>1000</v>
      </c>
      <c r="C694" s="696">
        <v>100</v>
      </c>
      <c r="D694" s="696">
        <v>2110</v>
      </c>
      <c r="F694" s="700" t="s">
        <v>1288</v>
      </c>
      <c r="G694" s="701">
        <v>9627.2199999999993</v>
      </c>
      <c r="H694" s="12" t="s">
        <v>889</v>
      </c>
      <c r="I694" s="12" t="s">
        <v>893</v>
      </c>
      <c r="J694" s="12" t="s">
        <v>902</v>
      </c>
      <c r="K694" s="12" t="s">
        <v>895</v>
      </c>
      <c r="L694" s="12"/>
      <c r="M694" s="11"/>
      <c r="N694" s="11"/>
      <c r="O694" s="11"/>
      <c r="P694" s="11"/>
    </row>
    <row r="695" spans="1:16" x14ac:dyDescent="0.25">
      <c r="A695" s="696">
        <v>56231</v>
      </c>
      <c r="B695" s="696">
        <v>1000</v>
      </c>
      <c r="C695" s="696">
        <v>100</v>
      </c>
      <c r="D695" s="696">
        <v>2200</v>
      </c>
      <c r="F695" s="700" t="s">
        <v>1288</v>
      </c>
      <c r="G695" s="701">
        <v>95372.49</v>
      </c>
      <c r="H695" s="12" t="s">
        <v>889</v>
      </c>
      <c r="I695" s="12" t="s">
        <v>893</v>
      </c>
      <c r="J695" s="12" t="s">
        <v>906</v>
      </c>
      <c r="K695" s="12" t="s">
        <v>895</v>
      </c>
      <c r="L695" s="12"/>
      <c r="M695" s="11"/>
      <c r="N695" s="11"/>
      <c r="O695" s="11"/>
      <c r="P695" s="11"/>
    </row>
    <row r="696" spans="1:16" x14ac:dyDescent="0.25">
      <c r="A696" s="696">
        <v>56231</v>
      </c>
      <c r="B696" s="696">
        <v>1000</v>
      </c>
      <c r="C696" s="696">
        <v>100</v>
      </c>
      <c r="D696" s="696">
        <v>2300</v>
      </c>
      <c r="F696" s="700" t="s">
        <v>1288</v>
      </c>
      <c r="G696" s="701">
        <v>30676.45</v>
      </c>
      <c r="H696" s="12" t="s">
        <v>889</v>
      </c>
      <c r="I696" s="12" t="s">
        <v>893</v>
      </c>
      <c r="J696" s="12" t="s">
        <v>918</v>
      </c>
      <c r="K696" s="12" t="s">
        <v>895</v>
      </c>
      <c r="L696" s="12"/>
      <c r="M696" s="11"/>
      <c r="N696" s="11"/>
      <c r="O696" s="11"/>
      <c r="P696" s="11"/>
    </row>
    <row r="697" spans="1:16" x14ac:dyDescent="0.25">
      <c r="A697" s="696">
        <v>56231</v>
      </c>
      <c r="B697" s="696">
        <v>1000</v>
      </c>
      <c r="C697" s="696">
        <v>100</v>
      </c>
      <c r="D697" s="696">
        <v>2310</v>
      </c>
      <c r="F697" s="700" t="s">
        <v>1288</v>
      </c>
      <c r="G697" s="701">
        <v>14838.44</v>
      </c>
      <c r="H697" s="12" t="s">
        <v>889</v>
      </c>
      <c r="I697" s="12" t="s">
        <v>893</v>
      </c>
      <c r="J697" s="12" t="s">
        <v>918</v>
      </c>
      <c r="K697" s="12" t="s">
        <v>895</v>
      </c>
      <c r="L697" s="12"/>
      <c r="M697" s="11"/>
      <c r="N697" s="11"/>
      <c r="O697" s="11"/>
      <c r="P697" s="11"/>
    </row>
    <row r="698" spans="1:16" x14ac:dyDescent="0.25">
      <c r="A698" s="696">
        <v>56231</v>
      </c>
      <c r="B698" s="696">
        <v>1000</v>
      </c>
      <c r="C698" s="696">
        <v>100</v>
      </c>
      <c r="D698" s="696">
        <v>2400</v>
      </c>
      <c r="F698" s="700" t="s">
        <v>1288</v>
      </c>
      <c r="G698" s="701">
        <v>108864.76</v>
      </c>
      <c r="H698" s="12" t="s">
        <v>889</v>
      </c>
      <c r="I698" s="12" t="s">
        <v>893</v>
      </c>
      <c r="J698" s="12" t="s">
        <v>922</v>
      </c>
      <c r="K698" s="12" t="s">
        <v>895</v>
      </c>
      <c r="L698" s="12"/>
      <c r="M698" s="11"/>
      <c r="N698" s="11"/>
      <c r="O698" s="11"/>
      <c r="P698" s="11"/>
    </row>
    <row r="699" spans="1:16" x14ac:dyDescent="0.25">
      <c r="A699" s="696">
        <v>56231</v>
      </c>
      <c r="B699" s="696">
        <v>1000</v>
      </c>
      <c r="C699" s="696">
        <v>100</v>
      </c>
      <c r="D699" s="696">
        <v>2410</v>
      </c>
      <c r="F699" s="700" t="s">
        <v>1288</v>
      </c>
      <c r="G699" s="701">
        <v>6864.22</v>
      </c>
      <c r="H699" s="12" t="s">
        <v>889</v>
      </c>
      <c r="I699" s="12" t="s">
        <v>893</v>
      </c>
      <c r="J699" s="12" t="s">
        <v>922</v>
      </c>
      <c r="K699" s="12" t="s">
        <v>895</v>
      </c>
      <c r="L699" s="12"/>
      <c r="M699" s="11"/>
      <c r="N699" s="11"/>
      <c r="O699" s="11"/>
      <c r="P699" s="11"/>
    </row>
    <row r="700" spans="1:16" x14ac:dyDescent="0.25">
      <c r="A700" s="696">
        <v>56231</v>
      </c>
      <c r="B700" s="696">
        <v>1000</v>
      </c>
      <c r="C700" s="696">
        <v>100</v>
      </c>
      <c r="D700" s="696">
        <v>2500</v>
      </c>
      <c r="F700" s="700" t="s">
        <v>1288</v>
      </c>
      <c r="G700" s="701">
        <v>417196.79999999999</v>
      </c>
      <c r="H700" s="12" t="s">
        <v>889</v>
      </c>
      <c r="I700" s="12" t="s">
        <v>893</v>
      </c>
      <c r="J700" s="12" t="s">
        <v>926</v>
      </c>
      <c r="K700" s="12" t="s">
        <v>895</v>
      </c>
      <c r="L700" s="12"/>
      <c r="M700" s="11"/>
      <c r="N700" s="11"/>
      <c r="O700" s="11"/>
      <c r="P700" s="11"/>
    </row>
    <row r="701" spans="1:16" x14ac:dyDescent="0.25">
      <c r="A701" s="696">
        <v>56231</v>
      </c>
      <c r="B701" s="696">
        <v>1000</v>
      </c>
      <c r="C701" s="696">
        <v>100</v>
      </c>
      <c r="D701" s="696">
        <v>2510</v>
      </c>
      <c r="F701" s="700" t="s">
        <v>1288</v>
      </c>
      <c r="G701" s="701">
        <v>10814.95</v>
      </c>
      <c r="H701" s="12" t="s">
        <v>889</v>
      </c>
      <c r="I701" s="12" t="s">
        <v>893</v>
      </c>
      <c r="J701" s="12" t="s">
        <v>926</v>
      </c>
      <c r="K701" s="12" t="s">
        <v>895</v>
      </c>
      <c r="L701" s="12"/>
      <c r="M701" s="11"/>
      <c r="N701" s="11"/>
      <c r="O701" s="11"/>
      <c r="P701" s="11"/>
    </row>
    <row r="702" spans="1:16" x14ac:dyDescent="0.25">
      <c r="A702" s="696">
        <v>56231</v>
      </c>
      <c r="B702" s="696">
        <v>1000</v>
      </c>
      <c r="C702" s="696">
        <v>100</v>
      </c>
      <c r="D702" s="696">
        <v>2520</v>
      </c>
      <c r="F702" s="700" t="s">
        <v>1288</v>
      </c>
      <c r="G702" s="701">
        <v>7918.56</v>
      </c>
      <c r="H702" s="12" t="s">
        <v>889</v>
      </c>
      <c r="I702" s="12" t="s">
        <v>893</v>
      </c>
      <c r="J702" s="12" t="s">
        <v>926</v>
      </c>
      <c r="K702" s="12" t="s">
        <v>895</v>
      </c>
      <c r="L702" s="12"/>
      <c r="M702" s="11"/>
      <c r="N702" s="11"/>
      <c r="O702" s="11"/>
      <c r="P702" s="11"/>
    </row>
    <row r="703" spans="1:16" x14ac:dyDescent="0.25">
      <c r="A703" s="696">
        <v>56231</v>
      </c>
      <c r="B703" s="696">
        <v>1000</v>
      </c>
      <c r="C703" s="696">
        <v>100</v>
      </c>
      <c r="D703" s="696">
        <v>2600</v>
      </c>
      <c r="F703" s="700" t="s">
        <v>1288</v>
      </c>
      <c r="G703" s="701">
        <v>12110.98</v>
      </c>
      <c r="H703" s="12" t="s">
        <v>889</v>
      </c>
      <c r="I703" s="12" t="s">
        <v>893</v>
      </c>
      <c r="J703" s="12" t="s">
        <v>930</v>
      </c>
      <c r="K703" s="12" t="s">
        <v>895</v>
      </c>
      <c r="L703" s="12"/>
      <c r="M703" s="11"/>
      <c r="N703" s="11"/>
      <c r="O703" s="11"/>
      <c r="P703" s="11"/>
    </row>
    <row r="704" spans="1:16" x14ac:dyDescent="0.25">
      <c r="A704" s="696">
        <v>56231</v>
      </c>
      <c r="B704" s="696">
        <v>1000</v>
      </c>
      <c r="C704" s="696">
        <v>100</v>
      </c>
      <c r="D704" s="696">
        <v>2700</v>
      </c>
      <c r="F704" s="700" t="s">
        <v>1288</v>
      </c>
      <c r="G704" s="701">
        <v>9.19</v>
      </c>
      <c r="H704" s="12" t="s">
        <v>889</v>
      </c>
      <c r="I704" s="12" t="s">
        <v>913</v>
      </c>
      <c r="J704" s="12" t="s">
        <v>934</v>
      </c>
      <c r="K704" s="12" t="s">
        <v>895</v>
      </c>
      <c r="L704" s="12"/>
      <c r="M704" s="11"/>
      <c r="N704" s="11"/>
      <c r="O704" s="11"/>
      <c r="P704" s="11"/>
    </row>
    <row r="705" spans="1:16" x14ac:dyDescent="0.25">
      <c r="A705" s="696">
        <v>56231</v>
      </c>
      <c r="B705" s="696">
        <v>1000</v>
      </c>
      <c r="C705" s="696">
        <v>100</v>
      </c>
      <c r="D705" s="696">
        <v>3100</v>
      </c>
      <c r="F705" s="700" t="s">
        <v>1288</v>
      </c>
      <c r="G705" s="701">
        <v>52.42</v>
      </c>
      <c r="H705" s="12" t="s">
        <v>889</v>
      </c>
      <c r="I705" s="12" t="s">
        <v>893</v>
      </c>
      <c r="J705" s="12" t="s">
        <v>942</v>
      </c>
      <c r="K705" s="12" t="s">
        <v>895</v>
      </c>
      <c r="L705" s="12"/>
      <c r="M705" s="11"/>
      <c r="N705" s="11"/>
      <c r="O705" s="11"/>
      <c r="P705" s="11"/>
    </row>
    <row r="706" spans="1:16" x14ac:dyDescent="0.25">
      <c r="A706" s="696">
        <v>56231</v>
      </c>
      <c r="B706" s="696">
        <v>1000</v>
      </c>
      <c r="C706" s="696">
        <v>200</v>
      </c>
      <c r="D706" s="696">
        <v>1000</v>
      </c>
      <c r="F706" s="700" t="s">
        <v>1288</v>
      </c>
      <c r="G706" s="701">
        <v>79754.880000000005</v>
      </c>
      <c r="H706" s="12" t="s">
        <v>889</v>
      </c>
      <c r="I706" s="12" t="s">
        <v>897</v>
      </c>
      <c r="J706" s="12" t="s">
        <v>894</v>
      </c>
      <c r="K706" s="12" t="s">
        <v>895</v>
      </c>
      <c r="L706" s="12"/>
      <c r="M706" s="11"/>
      <c r="N706" s="11"/>
      <c r="O706" s="11"/>
      <c r="P706" s="11"/>
    </row>
    <row r="707" spans="1:16" x14ac:dyDescent="0.25">
      <c r="A707" s="696">
        <v>56231</v>
      </c>
      <c r="B707" s="696">
        <v>1000</v>
      </c>
      <c r="C707" s="696">
        <v>200</v>
      </c>
      <c r="D707" s="696">
        <v>2100</v>
      </c>
      <c r="F707" s="700" t="s">
        <v>1288</v>
      </c>
      <c r="G707" s="701">
        <v>9503.67</v>
      </c>
      <c r="H707" s="12" t="s">
        <v>889</v>
      </c>
      <c r="I707" s="12" t="s">
        <v>897</v>
      </c>
      <c r="J707" s="12" t="s">
        <v>902</v>
      </c>
      <c r="K707" s="12" t="s">
        <v>895</v>
      </c>
      <c r="L707" s="12"/>
      <c r="M707" s="11"/>
      <c r="N707" s="11"/>
      <c r="O707" s="11"/>
      <c r="P707" s="11"/>
    </row>
    <row r="708" spans="1:16" x14ac:dyDescent="0.25">
      <c r="A708" s="696">
        <v>56231</v>
      </c>
      <c r="B708" s="696">
        <v>1000</v>
      </c>
      <c r="C708" s="696">
        <v>200</v>
      </c>
      <c r="D708" s="696">
        <v>2200</v>
      </c>
      <c r="F708" s="700" t="s">
        <v>1288</v>
      </c>
      <c r="G708" s="701">
        <v>6686.76</v>
      </c>
      <c r="H708" s="12" t="s">
        <v>889</v>
      </c>
      <c r="I708" s="12" t="s">
        <v>897</v>
      </c>
      <c r="J708" s="12" t="s">
        <v>906</v>
      </c>
      <c r="K708" s="12" t="s">
        <v>895</v>
      </c>
      <c r="L708" s="12"/>
      <c r="M708" s="11"/>
      <c r="N708" s="11"/>
      <c r="O708" s="11"/>
      <c r="P708" s="11"/>
    </row>
    <row r="709" spans="1:16" x14ac:dyDescent="0.25">
      <c r="A709" s="696">
        <v>56231</v>
      </c>
      <c r="B709" s="696">
        <v>1000</v>
      </c>
      <c r="C709" s="696">
        <v>200</v>
      </c>
      <c r="D709" s="696">
        <v>2500</v>
      </c>
      <c r="F709" s="700" t="s">
        <v>1288</v>
      </c>
      <c r="G709" s="701">
        <v>645.58000000000004</v>
      </c>
      <c r="H709" s="12" t="s">
        <v>889</v>
      </c>
      <c r="I709" s="12" t="s">
        <v>897</v>
      </c>
      <c r="J709" s="12" t="s">
        <v>926</v>
      </c>
      <c r="K709" s="12" t="s">
        <v>895</v>
      </c>
      <c r="L709" s="12"/>
      <c r="M709" s="11"/>
      <c r="N709" s="11"/>
      <c r="O709" s="11"/>
      <c r="P709" s="11"/>
    </row>
    <row r="710" spans="1:16" x14ac:dyDescent="0.25">
      <c r="A710" s="696">
        <v>56231</v>
      </c>
      <c r="B710" s="696">
        <v>1000</v>
      </c>
      <c r="C710" s="696">
        <v>240</v>
      </c>
      <c r="D710" s="696">
        <v>1000</v>
      </c>
      <c r="F710" s="700" t="s">
        <v>1288</v>
      </c>
      <c r="G710" s="701">
        <v>3417</v>
      </c>
      <c r="H710" s="12" t="s">
        <v>889</v>
      </c>
      <c r="I710" s="12" t="s">
        <v>897</v>
      </c>
      <c r="J710" s="12" t="s">
        <v>894</v>
      </c>
      <c r="K710" s="12" t="s">
        <v>895</v>
      </c>
      <c r="L710" s="12"/>
      <c r="M710" s="11"/>
      <c r="N710" s="11"/>
      <c r="O710" s="11"/>
      <c r="P710" s="11"/>
    </row>
    <row r="711" spans="1:16" x14ac:dyDescent="0.25">
      <c r="A711" s="696">
        <v>56231</v>
      </c>
      <c r="B711" s="696">
        <v>1000</v>
      </c>
      <c r="C711" s="696">
        <v>260</v>
      </c>
      <c r="D711" s="696">
        <v>1000</v>
      </c>
      <c r="F711" s="700" t="s">
        <v>1288</v>
      </c>
      <c r="G711" s="701">
        <v>7729.55</v>
      </c>
      <c r="H711" s="12" t="s">
        <v>896</v>
      </c>
      <c r="I711" s="12" t="s">
        <v>901</v>
      </c>
      <c r="J711" s="12" t="s">
        <v>894</v>
      </c>
      <c r="K711" s="12" t="s">
        <v>895</v>
      </c>
      <c r="L711" s="12"/>
      <c r="M711" s="11"/>
      <c r="N711" s="11"/>
      <c r="O711" s="11"/>
      <c r="P711" s="11"/>
    </row>
    <row r="712" spans="1:16" x14ac:dyDescent="0.25">
      <c r="A712" s="696">
        <v>56231</v>
      </c>
      <c r="B712" s="696">
        <v>1000</v>
      </c>
      <c r="C712" s="696">
        <v>400</v>
      </c>
      <c r="D712" s="696">
        <v>2700</v>
      </c>
      <c r="F712" s="700" t="s">
        <v>1288</v>
      </c>
      <c r="G712" s="701">
        <v>847.99</v>
      </c>
      <c r="H712" s="12" t="s">
        <v>889</v>
      </c>
      <c r="I712" s="12" t="s">
        <v>913</v>
      </c>
      <c r="J712" s="12" t="s">
        <v>934</v>
      </c>
      <c r="K712" s="12" t="s">
        <v>895</v>
      </c>
      <c r="L712" s="12"/>
      <c r="M712" s="11"/>
      <c r="N712" s="11"/>
      <c r="O712" s="11"/>
      <c r="P712" s="11"/>
    </row>
    <row r="713" spans="1:16" x14ac:dyDescent="0.25">
      <c r="A713" s="696">
        <v>56231</v>
      </c>
      <c r="B713" s="696">
        <v>1000</v>
      </c>
      <c r="C713" s="696">
        <v>550</v>
      </c>
      <c r="D713" s="696">
        <v>1000</v>
      </c>
      <c r="F713" s="700" t="s">
        <v>1288</v>
      </c>
      <c r="G713" s="701">
        <v>9477.94</v>
      </c>
      <c r="H713" s="12" t="s">
        <v>889</v>
      </c>
      <c r="I713" s="12" t="s">
        <v>933</v>
      </c>
      <c r="J713" s="12" t="s">
        <v>894</v>
      </c>
      <c r="K713" s="12" t="s">
        <v>895</v>
      </c>
      <c r="L713" s="12"/>
      <c r="M713" s="11"/>
      <c r="N713" s="11"/>
      <c r="O713" s="11"/>
      <c r="P713" s="11"/>
    </row>
    <row r="714" spans="1:16" x14ac:dyDescent="0.25">
      <c r="A714" s="696">
        <v>56231</v>
      </c>
      <c r="B714" s="696">
        <v>1000</v>
      </c>
      <c r="C714" s="696">
        <v>615</v>
      </c>
      <c r="D714" s="696">
        <v>1000</v>
      </c>
      <c r="F714" s="700" t="s">
        <v>1288</v>
      </c>
      <c r="G714" s="701">
        <v>422.53</v>
      </c>
      <c r="H714" s="12" t="s">
        <v>889</v>
      </c>
      <c r="I714" s="12" t="s">
        <v>937</v>
      </c>
      <c r="J714" s="12" t="s">
        <v>894</v>
      </c>
      <c r="K714" s="12" t="s">
        <v>895</v>
      </c>
      <c r="L714" s="12"/>
      <c r="M714" s="11"/>
      <c r="N714" s="11"/>
      <c r="O714" s="11"/>
      <c r="P714" s="11"/>
    </row>
    <row r="715" spans="1:16" x14ac:dyDescent="0.25">
      <c r="A715" s="696">
        <v>56231</v>
      </c>
      <c r="B715" s="696">
        <v>1012</v>
      </c>
      <c r="C715" s="696">
        <v>100</v>
      </c>
      <c r="D715" s="696">
        <v>1000</v>
      </c>
      <c r="F715" s="700" t="s">
        <v>1288</v>
      </c>
      <c r="G715" s="701">
        <v>295508.51</v>
      </c>
      <c r="H715" s="12" t="s">
        <v>890</v>
      </c>
      <c r="I715" s="12" t="s">
        <v>893</v>
      </c>
      <c r="J715" s="12" t="s">
        <v>894</v>
      </c>
      <c r="K715" s="12" t="s">
        <v>895</v>
      </c>
      <c r="L715" s="12"/>
      <c r="M715" s="11"/>
      <c r="N715" s="11"/>
      <c r="O715" s="11"/>
      <c r="P715" s="11"/>
    </row>
    <row r="716" spans="1:16" x14ac:dyDescent="0.25">
      <c r="A716" s="696">
        <v>56231</v>
      </c>
      <c r="B716" s="696">
        <v>1012</v>
      </c>
      <c r="C716" s="696">
        <v>100</v>
      </c>
      <c r="D716" s="696">
        <v>2100</v>
      </c>
      <c r="F716" s="700" t="s">
        <v>1288</v>
      </c>
      <c r="G716" s="701">
        <v>31154.79</v>
      </c>
      <c r="H716" s="12" t="s">
        <v>890</v>
      </c>
      <c r="I716" s="12" t="s">
        <v>893</v>
      </c>
      <c r="J716" s="12" t="s">
        <v>902</v>
      </c>
      <c r="K716" s="12" t="s">
        <v>895</v>
      </c>
      <c r="L716" s="12"/>
      <c r="M716" s="11"/>
      <c r="N716" s="11"/>
      <c r="O716" s="11"/>
      <c r="P716" s="11"/>
    </row>
    <row r="717" spans="1:16" x14ac:dyDescent="0.25">
      <c r="A717" s="696">
        <v>56231</v>
      </c>
      <c r="B717" s="696">
        <v>1012</v>
      </c>
      <c r="C717" s="696">
        <v>100</v>
      </c>
      <c r="D717" s="696">
        <v>2200</v>
      </c>
      <c r="F717" s="700" t="s">
        <v>1288</v>
      </c>
      <c r="G717" s="701">
        <v>2194.91</v>
      </c>
      <c r="H717" s="12" t="s">
        <v>890</v>
      </c>
      <c r="I717" s="12" t="s">
        <v>893</v>
      </c>
      <c r="J717" s="12" t="s">
        <v>906</v>
      </c>
      <c r="K717" s="12" t="s">
        <v>895</v>
      </c>
      <c r="L717" s="12"/>
      <c r="M717" s="11"/>
      <c r="N717" s="11"/>
      <c r="O717" s="11"/>
      <c r="P717" s="11"/>
    </row>
    <row r="718" spans="1:16" x14ac:dyDescent="0.25">
      <c r="A718" s="696">
        <v>56231</v>
      </c>
      <c r="B718" s="696">
        <v>1012</v>
      </c>
      <c r="C718" s="696">
        <v>200</v>
      </c>
      <c r="D718" s="696">
        <v>1000</v>
      </c>
      <c r="F718" s="700" t="s">
        <v>1288</v>
      </c>
      <c r="G718" s="701">
        <v>6453.62</v>
      </c>
      <c r="H718" s="12" t="s">
        <v>890</v>
      </c>
      <c r="I718" s="12" t="s">
        <v>897</v>
      </c>
      <c r="J718" s="12" t="s">
        <v>894</v>
      </c>
      <c r="K718" s="12" t="s">
        <v>895</v>
      </c>
      <c r="L718" s="12"/>
      <c r="M718" s="11"/>
      <c r="N718" s="11"/>
      <c r="O718" s="11"/>
      <c r="P718" s="11"/>
    </row>
    <row r="719" spans="1:16" x14ac:dyDescent="0.25">
      <c r="A719" s="696">
        <v>56231</v>
      </c>
      <c r="B719" s="696">
        <v>1012</v>
      </c>
      <c r="C719" s="696">
        <v>200</v>
      </c>
      <c r="D719" s="696">
        <v>2100</v>
      </c>
      <c r="F719" s="700" t="s">
        <v>1288</v>
      </c>
      <c r="G719" s="701">
        <v>3677.82</v>
      </c>
      <c r="H719" s="12" t="s">
        <v>890</v>
      </c>
      <c r="I719" s="12" t="s">
        <v>897</v>
      </c>
      <c r="J719" s="12" t="s">
        <v>902</v>
      </c>
      <c r="K719" s="12" t="s">
        <v>895</v>
      </c>
      <c r="L719" s="12"/>
      <c r="M719" s="11"/>
      <c r="N719" s="11"/>
      <c r="O719" s="11"/>
      <c r="P719" s="11"/>
    </row>
    <row r="720" spans="1:16" x14ac:dyDescent="0.25">
      <c r="A720" s="696">
        <v>56231</v>
      </c>
      <c r="B720" s="696">
        <v>1012</v>
      </c>
      <c r="C720" s="696">
        <v>260</v>
      </c>
      <c r="D720" s="696">
        <v>1000</v>
      </c>
      <c r="F720" s="700" t="s">
        <v>1288</v>
      </c>
      <c r="G720" s="701">
        <v>586.36</v>
      </c>
      <c r="H720" s="12" t="s">
        <v>890</v>
      </c>
      <c r="I720" s="12" t="s">
        <v>901</v>
      </c>
      <c r="J720" s="12" t="s">
        <v>894</v>
      </c>
      <c r="K720" s="12" t="s">
        <v>895</v>
      </c>
      <c r="L720" s="12"/>
      <c r="M720" s="11"/>
      <c r="N720" s="11"/>
      <c r="O720" s="11"/>
      <c r="P720" s="11"/>
    </row>
    <row r="721" spans="1:16" x14ac:dyDescent="0.25">
      <c r="A721" s="696">
        <v>56231</v>
      </c>
      <c r="B721" s="696">
        <v>1220</v>
      </c>
      <c r="C721" s="696">
        <v>200</v>
      </c>
      <c r="D721" s="696">
        <v>1000</v>
      </c>
      <c r="F721" s="700" t="s">
        <v>1288</v>
      </c>
      <c r="G721" s="701">
        <v>8647.2000000000007</v>
      </c>
      <c r="H721" s="12" t="s">
        <v>932</v>
      </c>
      <c r="I721" s="12" t="s">
        <v>897</v>
      </c>
      <c r="J721" s="12" t="s">
        <v>894</v>
      </c>
      <c r="K721" s="12" t="s">
        <v>895</v>
      </c>
      <c r="L721" s="12"/>
      <c r="M721" s="11"/>
      <c r="N721" s="11"/>
      <c r="O721" s="11"/>
      <c r="P721" s="11"/>
    </row>
    <row r="722" spans="1:16" x14ac:dyDescent="0.25">
      <c r="A722" s="696">
        <v>56231</v>
      </c>
      <c r="B722" s="696">
        <v>1220</v>
      </c>
      <c r="C722" s="696">
        <v>200</v>
      </c>
      <c r="D722" s="696">
        <v>2100</v>
      </c>
      <c r="F722" s="700" t="s">
        <v>1288</v>
      </c>
      <c r="G722" s="701">
        <v>42307.98</v>
      </c>
      <c r="H722" s="12" t="s">
        <v>932</v>
      </c>
      <c r="I722" s="12" t="s">
        <v>897</v>
      </c>
      <c r="J722" s="12" t="s">
        <v>902</v>
      </c>
      <c r="K722" s="12" t="s">
        <v>895</v>
      </c>
      <c r="L722" s="12"/>
      <c r="M722" s="11"/>
      <c r="N722" s="11"/>
      <c r="O722" s="11"/>
      <c r="P722" s="11"/>
    </row>
    <row r="723" spans="1:16" x14ac:dyDescent="0.25">
      <c r="A723" s="696">
        <v>56231</v>
      </c>
      <c r="B723" s="696">
        <v>1220</v>
      </c>
      <c r="C723" s="696">
        <v>200</v>
      </c>
      <c r="D723" s="696">
        <v>2200</v>
      </c>
      <c r="F723" s="700" t="s">
        <v>1288</v>
      </c>
      <c r="G723" s="701">
        <v>0</v>
      </c>
      <c r="H723" s="12" t="s">
        <v>932</v>
      </c>
      <c r="I723" s="12" t="s">
        <v>897</v>
      </c>
      <c r="J723" s="12" t="s">
        <v>906</v>
      </c>
      <c r="K723" s="12" t="s">
        <v>895</v>
      </c>
      <c r="L723" s="12"/>
      <c r="M723" s="11"/>
      <c r="N723" s="11"/>
      <c r="O723" s="11"/>
      <c r="P723" s="11"/>
    </row>
    <row r="724" spans="1:16" x14ac:dyDescent="0.25">
      <c r="A724" s="696">
        <v>56222</v>
      </c>
      <c r="B724" s="696">
        <v>1322</v>
      </c>
      <c r="C724" s="696">
        <v>100</v>
      </c>
      <c r="D724" s="696">
        <v>2200</v>
      </c>
      <c r="F724" s="700" t="s">
        <v>1287</v>
      </c>
      <c r="G724" s="701">
        <v>1470.97</v>
      </c>
      <c r="H724" s="12" t="s">
        <v>968</v>
      </c>
      <c r="I724" s="12" t="s">
        <v>893</v>
      </c>
      <c r="J724" s="12" t="s">
        <v>906</v>
      </c>
      <c r="K724" s="12" t="s">
        <v>895</v>
      </c>
      <c r="L724" s="12"/>
      <c r="M724" s="11"/>
      <c r="N724" s="11"/>
      <c r="O724" s="11"/>
      <c r="P724" s="11"/>
    </row>
    <row r="725" spans="1:16" x14ac:dyDescent="0.25">
      <c r="A725" s="696">
        <v>56231</v>
      </c>
      <c r="B725" s="696">
        <v>1322</v>
      </c>
      <c r="C725" s="696">
        <v>100</v>
      </c>
      <c r="D725" s="696">
        <v>2200</v>
      </c>
      <c r="F725" s="700" t="s">
        <v>1288</v>
      </c>
      <c r="G725" s="701">
        <v>10952.55</v>
      </c>
      <c r="H725" s="12" t="s">
        <v>968</v>
      </c>
      <c r="I725" s="12" t="s">
        <v>893</v>
      </c>
      <c r="J725" s="12" t="s">
        <v>906</v>
      </c>
      <c r="K725" s="12" t="s">
        <v>895</v>
      </c>
      <c r="L725" s="12"/>
      <c r="M725" s="11"/>
      <c r="N725" s="11"/>
      <c r="O725" s="11"/>
      <c r="P725" s="11"/>
    </row>
    <row r="726" spans="1:16" x14ac:dyDescent="0.25">
      <c r="A726" s="696">
        <v>56232</v>
      </c>
      <c r="B726" s="696">
        <v>1322</v>
      </c>
      <c r="C726" s="696">
        <v>100</v>
      </c>
      <c r="D726" s="696">
        <v>2200</v>
      </c>
      <c r="F726" s="700" t="s">
        <v>1289</v>
      </c>
      <c r="G726" s="701">
        <v>134.80000000000001</v>
      </c>
      <c r="H726" s="12" t="s">
        <v>968</v>
      </c>
      <c r="I726" s="12" t="s">
        <v>893</v>
      </c>
      <c r="J726" s="12" t="s">
        <v>906</v>
      </c>
      <c r="K726" s="12" t="s">
        <v>895</v>
      </c>
      <c r="L726" s="12"/>
      <c r="M726" s="11"/>
      <c r="N726" s="11"/>
      <c r="O726" s="11"/>
      <c r="P726" s="11"/>
    </row>
    <row r="727" spans="1:16" x14ac:dyDescent="0.25">
      <c r="A727" s="696">
        <v>56290</v>
      </c>
      <c r="B727" s="696">
        <v>1322</v>
      </c>
      <c r="C727" s="696">
        <v>100</v>
      </c>
      <c r="D727" s="696">
        <v>2200</v>
      </c>
      <c r="F727" s="700" t="s">
        <v>1294</v>
      </c>
      <c r="G727" s="701">
        <v>61.05</v>
      </c>
      <c r="H727" s="12" t="s">
        <v>968</v>
      </c>
      <c r="I727" s="12" t="s">
        <v>893</v>
      </c>
      <c r="J727" s="12" t="s">
        <v>906</v>
      </c>
      <c r="K727" s="12" t="s">
        <v>895</v>
      </c>
      <c r="L727" s="12"/>
      <c r="M727" s="11"/>
      <c r="N727" s="11"/>
      <c r="O727" s="11"/>
      <c r="P727" s="11"/>
    </row>
    <row r="728" spans="1:16" x14ac:dyDescent="0.25">
      <c r="A728" s="696">
        <v>56210</v>
      </c>
      <c r="B728" s="696">
        <v>1322</v>
      </c>
      <c r="C728" s="696">
        <v>100</v>
      </c>
      <c r="D728" s="696">
        <v>2400</v>
      </c>
      <c r="F728" s="700" t="s">
        <v>1281</v>
      </c>
      <c r="G728" s="701">
        <v>5858.62</v>
      </c>
      <c r="H728" s="12" t="s">
        <v>968</v>
      </c>
      <c r="I728" s="12" t="s">
        <v>893</v>
      </c>
      <c r="J728" s="12" t="s">
        <v>922</v>
      </c>
      <c r="K728" s="12" t="s">
        <v>895</v>
      </c>
      <c r="L728" s="12"/>
      <c r="M728" s="11"/>
      <c r="N728" s="11"/>
      <c r="O728" s="11"/>
      <c r="P728" s="11"/>
    </row>
    <row r="729" spans="1:16" x14ac:dyDescent="0.25">
      <c r="A729" s="696">
        <v>56212</v>
      </c>
      <c r="B729" s="696">
        <v>1322</v>
      </c>
      <c r="C729" s="696">
        <v>100</v>
      </c>
      <c r="D729" s="696">
        <v>2400</v>
      </c>
      <c r="F729" s="700" t="s">
        <v>1283</v>
      </c>
      <c r="G729" s="701">
        <v>70.67</v>
      </c>
      <c r="H729" s="12" t="s">
        <v>968</v>
      </c>
      <c r="I729" s="12" t="s">
        <v>893</v>
      </c>
      <c r="J729" s="12" t="s">
        <v>922</v>
      </c>
      <c r="K729" s="12" t="s">
        <v>895</v>
      </c>
      <c r="L729" s="12"/>
      <c r="M729" s="11"/>
      <c r="N729" s="11"/>
      <c r="O729" s="11"/>
      <c r="P729" s="11"/>
    </row>
    <row r="730" spans="1:16" x14ac:dyDescent="0.25">
      <c r="A730" s="696">
        <v>56213</v>
      </c>
      <c r="B730" s="696">
        <v>1322</v>
      </c>
      <c r="C730" s="696">
        <v>100</v>
      </c>
      <c r="D730" s="696">
        <v>2400</v>
      </c>
      <c r="F730" s="700" t="s">
        <v>1284</v>
      </c>
      <c r="G730" s="701">
        <v>32.979999999999997</v>
      </c>
      <c r="H730" s="12" t="s">
        <v>968</v>
      </c>
      <c r="I730" s="12" t="s">
        <v>893</v>
      </c>
      <c r="J730" s="12" t="s">
        <v>922</v>
      </c>
      <c r="K730" s="12" t="s">
        <v>895</v>
      </c>
      <c r="L730" s="12"/>
      <c r="M730" s="11"/>
      <c r="N730" s="11"/>
      <c r="O730" s="11"/>
      <c r="P730" s="11"/>
    </row>
    <row r="731" spans="1:16" x14ac:dyDescent="0.25">
      <c r="A731" s="696">
        <v>56214</v>
      </c>
      <c r="B731" s="696">
        <v>1322</v>
      </c>
      <c r="C731" s="696">
        <v>100</v>
      </c>
      <c r="D731" s="696">
        <v>2400</v>
      </c>
      <c r="F731" s="700" t="s">
        <v>1285</v>
      </c>
      <c r="G731" s="701">
        <v>221.9</v>
      </c>
      <c r="H731" s="12" t="s">
        <v>968</v>
      </c>
      <c r="I731" s="12" t="s">
        <v>893</v>
      </c>
      <c r="J731" s="12" t="s">
        <v>922</v>
      </c>
      <c r="K731" s="12" t="s">
        <v>895</v>
      </c>
      <c r="L731" s="12"/>
      <c r="M731" s="11"/>
      <c r="N731" s="11"/>
      <c r="O731" s="11"/>
      <c r="P731" s="11"/>
    </row>
    <row r="732" spans="1:16" x14ac:dyDescent="0.25">
      <c r="A732" s="696">
        <v>56231</v>
      </c>
      <c r="B732" s="696">
        <v>1487</v>
      </c>
      <c r="C732" s="696">
        <v>100</v>
      </c>
      <c r="D732" s="696">
        <v>2100</v>
      </c>
      <c r="F732" s="700" t="s">
        <v>1288</v>
      </c>
      <c r="G732" s="701">
        <v>7988.85</v>
      </c>
      <c r="H732" s="12" t="s">
        <v>995</v>
      </c>
      <c r="I732" s="12" t="s">
        <v>893</v>
      </c>
      <c r="J732" s="12" t="s">
        <v>902</v>
      </c>
      <c r="K732" s="12" t="s">
        <v>895</v>
      </c>
      <c r="L732" s="12"/>
      <c r="M732" s="11"/>
      <c r="N732" s="11"/>
      <c r="O732" s="11"/>
      <c r="P732" s="11"/>
    </row>
    <row r="733" spans="1:16" x14ac:dyDescent="0.25">
      <c r="A733" s="696">
        <v>56231</v>
      </c>
      <c r="B733" s="696">
        <v>1531</v>
      </c>
      <c r="C733" s="696">
        <v>100</v>
      </c>
      <c r="D733" s="696">
        <v>2200</v>
      </c>
      <c r="F733" s="700" t="s">
        <v>1288</v>
      </c>
      <c r="G733" s="701">
        <v>57240.51</v>
      </c>
      <c r="H733" s="12" t="s">
        <v>997</v>
      </c>
      <c r="I733" s="12" t="s">
        <v>893</v>
      </c>
      <c r="J733" s="12" t="s">
        <v>906</v>
      </c>
      <c r="K733" s="12" t="s">
        <v>895</v>
      </c>
      <c r="L733" s="12"/>
      <c r="M733" s="11"/>
      <c r="N733" s="11"/>
      <c r="O733" s="11"/>
      <c r="P733" s="11"/>
    </row>
    <row r="734" spans="1:16" x14ac:dyDescent="0.25">
      <c r="A734" s="696">
        <v>56231</v>
      </c>
      <c r="B734" s="696">
        <v>1531</v>
      </c>
      <c r="C734" s="696">
        <v>100</v>
      </c>
      <c r="D734" s="696">
        <v>2500</v>
      </c>
      <c r="F734" s="700" t="s">
        <v>1288</v>
      </c>
      <c r="G734" s="701">
        <v>447.5</v>
      </c>
      <c r="H734" s="12" t="s">
        <v>997</v>
      </c>
      <c r="I734" s="12" t="s">
        <v>893</v>
      </c>
      <c r="J734" s="12" t="s">
        <v>926</v>
      </c>
      <c r="K734" s="12" t="s">
        <v>895</v>
      </c>
      <c r="L734" s="12"/>
      <c r="M734" s="11"/>
      <c r="N734" s="11"/>
      <c r="O734" s="11"/>
      <c r="P734" s="11"/>
    </row>
    <row r="735" spans="1:16" x14ac:dyDescent="0.25">
      <c r="A735" s="696">
        <v>56231</v>
      </c>
      <c r="B735" s="696">
        <v>1532</v>
      </c>
      <c r="C735" s="696">
        <v>100</v>
      </c>
      <c r="D735" s="696">
        <v>1000</v>
      </c>
      <c r="F735" s="700" t="s">
        <v>1288</v>
      </c>
      <c r="G735" s="701">
        <v>7106.85</v>
      </c>
      <c r="H735" s="12" t="s">
        <v>997</v>
      </c>
      <c r="I735" s="12" t="s">
        <v>893</v>
      </c>
      <c r="J735" s="12" t="s">
        <v>894</v>
      </c>
      <c r="K735" s="12" t="s">
        <v>895</v>
      </c>
      <c r="L735" s="12"/>
      <c r="M735" s="11"/>
      <c r="N735" s="11"/>
      <c r="O735" s="11"/>
      <c r="P735" s="11"/>
    </row>
    <row r="736" spans="1:16" x14ac:dyDescent="0.25">
      <c r="A736" s="696">
        <v>56231</v>
      </c>
      <c r="B736" s="696">
        <v>1532</v>
      </c>
      <c r="C736" s="696">
        <v>100</v>
      </c>
      <c r="D736" s="696">
        <v>2200</v>
      </c>
      <c r="F736" s="700" t="s">
        <v>1288</v>
      </c>
      <c r="G736" s="701">
        <v>38.85</v>
      </c>
      <c r="H736" s="12" t="s">
        <v>997</v>
      </c>
      <c r="I736" s="12" t="s">
        <v>893</v>
      </c>
      <c r="J736" s="12" t="s">
        <v>906</v>
      </c>
      <c r="K736" s="12" t="s">
        <v>895</v>
      </c>
      <c r="L736" s="12"/>
      <c r="M736" s="11"/>
      <c r="N736" s="11"/>
      <c r="O736" s="11"/>
      <c r="P736" s="11"/>
    </row>
    <row r="737" spans="1:16" x14ac:dyDescent="0.25">
      <c r="A737" s="696">
        <v>56231</v>
      </c>
      <c r="B737" s="696">
        <v>1532</v>
      </c>
      <c r="C737" s="696">
        <v>100</v>
      </c>
      <c r="D737" s="696">
        <v>2500</v>
      </c>
      <c r="F737" s="700" t="s">
        <v>1288</v>
      </c>
      <c r="G737" s="701">
        <v>2013.77</v>
      </c>
      <c r="H737" s="12" t="s">
        <v>997</v>
      </c>
      <c r="I737" s="12" t="s">
        <v>893</v>
      </c>
      <c r="J737" s="12" t="s">
        <v>926</v>
      </c>
      <c r="K737" s="12" t="s">
        <v>895</v>
      </c>
      <c r="L737" s="12"/>
      <c r="M737" s="11"/>
      <c r="N737" s="11"/>
      <c r="O737" s="11"/>
      <c r="P737" s="11"/>
    </row>
    <row r="738" spans="1:16" x14ac:dyDescent="0.25">
      <c r="A738" s="696">
        <v>56231</v>
      </c>
      <c r="B738" s="696">
        <v>1534</v>
      </c>
      <c r="C738" s="696">
        <v>100</v>
      </c>
      <c r="D738" s="696">
        <v>2700</v>
      </c>
      <c r="F738" s="700" t="s">
        <v>1288</v>
      </c>
      <c r="G738" s="701">
        <v>10.72</v>
      </c>
      <c r="H738" s="12" t="s">
        <v>997</v>
      </c>
      <c r="I738" s="12" t="s">
        <v>913</v>
      </c>
      <c r="J738" s="12" t="s">
        <v>934</v>
      </c>
      <c r="K738" s="12" t="s">
        <v>895</v>
      </c>
      <c r="L738" s="12"/>
      <c r="M738" s="11"/>
      <c r="N738" s="11"/>
      <c r="O738" s="11"/>
      <c r="P738" s="11"/>
    </row>
    <row r="739" spans="1:16" x14ac:dyDescent="0.25">
      <c r="A739" s="696">
        <v>56231</v>
      </c>
      <c r="B739" s="696">
        <v>1534</v>
      </c>
      <c r="C739" s="696">
        <v>400</v>
      </c>
      <c r="D739" s="696">
        <v>2700</v>
      </c>
      <c r="F739" s="700" t="s">
        <v>1288</v>
      </c>
      <c r="G739" s="701">
        <v>936.43</v>
      </c>
      <c r="H739" s="12" t="s">
        <v>997</v>
      </c>
      <c r="I739" s="12" t="s">
        <v>913</v>
      </c>
      <c r="J739" s="12" t="s">
        <v>934</v>
      </c>
      <c r="K739" s="12" t="s">
        <v>895</v>
      </c>
      <c r="L739" s="12"/>
      <c r="M739" s="11"/>
      <c r="N739" s="11"/>
      <c r="O739" s="11"/>
      <c r="P739" s="11"/>
    </row>
    <row r="740" spans="1:16" x14ac:dyDescent="0.25">
      <c r="A740" s="696">
        <v>56231</v>
      </c>
      <c r="B740" s="696">
        <v>1536</v>
      </c>
      <c r="C740" s="696">
        <v>100</v>
      </c>
      <c r="D740" s="696">
        <v>2200</v>
      </c>
      <c r="F740" s="700" t="s">
        <v>1288</v>
      </c>
      <c r="G740" s="701">
        <v>500.31</v>
      </c>
      <c r="H740" s="12" t="s">
        <v>997</v>
      </c>
      <c r="I740" s="12" t="s">
        <v>893</v>
      </c>
      <c r="J740" s="12" t="s">
        <v>906</v>
      </c>
      <c r="K740" s="12" t="s">
        <v>895</v>
      </c>
      <c r="L740" s="12"/>
      <c r="M740" s="11"/>
      <c r="N740" s="11"/>
      <c r="O740" s="11"/>
      <c r="P740" s="11"/>
    </row>
    <row r="741" spans="1:16" x14ac:dyDescent="0.25">
      <c r="A741" s="696">
        <v>56231</v>
      </c>
      <c r="B741" s="696">
        <v>1536</v>
      </c>
      <c r="C741" s="696">
        <v>100</v>
      </c>
      <c r="D741" s="696">
        <v>2300</v>
      </c>
      <c r="F741" s="700" t="s">
        <v>1288</v>
      </c>
      <c r="G741" s="701">
        <v>904.59</v>
      </c>
      <c r="H741" s="12" t="s">
        <v>997</v>
      </c>
      <c r="I741" s="12" t="s">
        <v>893</v>
      </c>
      <c r="J741" s="12" t="s">
        <v>918</v>
      </c>
      <c r="K741" s="12" t="s">
        <v>895</v>
      </c>
      <c r="L741" s="12"/>
      <c r="M741" s="11"/>
      <c r="N741" s="11"/>
      <c r="O741" s="11"/>
      <c r="P741" s="11"/>
    </row>
    <row r="742" spans="1:16" x14ac:dyDescent="0.25">
      <c r="A742" s="696">
        <v>56231</v>
      </c>
      <c r="B742" s="696">
        <v>1536</v>
      </c>
      <c r="C742" s="696">
        <v>100</v>
      </c>
      <c r="D742" s="696">
        <v>2500</v>
      </c>
      <c r="F742" s="700" t="s">
        <v>1288</v>
      </c>
      <c r="G742" s="701">
        <v>7792.96</v>
      </c>
      <c r="H742" s="12" t="s">
        <v>997</v>
      </c>
      <c r="I742" s="12" t="s">
        <v>893</v>
      </c>
      <c r="J742" s="12" t="s">
        <v>926</v>
      </c>
      <c r="K742" s="12" t="s">
        <v>895</v>
      </c>
      <c r="L742" s="12"/>
      <c r="M742" s="11"/>
      <c r="N742" s="11"/>
      <c r="O742" s="11"/>
      <c r="P742" s="11"/>
    </row>
    <row r="743" spans="1:16" x14ac:dyDescent="0.25">
      <c r="A743" s="696">
        <v>56231</v>
      </c>
      <c r="B743" s="696">
        <v>1540</v>
      </c>
      <c r="C743" s="696">
        <v>100</v>
      </c>
      <c r="D743" s="696">
        <v>1000</v>
      </c>
      <c r="F743" s="700" t="s">
        <v>1288</v>
      </c>
      <c r="G743" s="701">
        <v>2277.39</v>
      </c>
      <c r="H743" s="12" t="s">
        <v>997</v>
      </c>
      <c r="I743" s="12" t="s">
        <v>893</v>
      </c>
      <c r="J743" s="12" t="s">
        <v>894</v>
      </c>
      <c r="K743" s="12" t="s">
        <v>895</v>
      </c>
      <c r="L743" s="12"/>
      <c r="M743" s="11"/>
      <c r="N743" s="11"/>
      <c r="O743" s="11"/>
      <c r="P743" s="11"/>
    </row>
    <row r="744" spans="1:16" x14ac:dyDescent="0.25">
      <c r="A744" s="696">
        <v>56231</v>
      </c>
      <c r="B744" s="696">
        <v>1540</v>
      </c>
      <c r="C744" s="696">
        <v>100</v>
      </c>
      <c r="D744" s="696">
        <v>2500</v>
      </c>
      <c r="F744" s="700" t="s">
        <v>1288</v>
      </c>
      <c r="G744" s="701">
        <v>4807.82</v>
      </c>
      <c r="H744" s="12" t="s">
        <v>997</v>
      </c>
      <c r="I744" s="12" t="s">
        <v>893</v>
      </c>
      <c r="J744" s="12" t="s">
        <v>926</v>
      </c>
      <c r="K744" s="12" t="s">
        <v>895</v>
      </c>
      <c r="L744" s="12"/>
      <c r="M744" s="11"/>
      <c r="N744" s="11"/>
      <c r="O744" s="11"/>
      <c r="P744" s="11"/>
    </row>
    <row r="745" spans="1:16" x14ac:dyDescent="0.25">
      <c r="A745" s="696">
        <v>56231</v>
      </c>
      <c r="B745" s="696">
        <v>1756</v>
      </c>
      <c r="C745" s="696">
        <v>615</v>
      </c>
      <c r="D745" s="696">
        <v>1000</v>
      </c>
      <c r="F745" s="700" t="s">
        <v>1288</v>
      </c>
      <c r="G745" s="701">
        <v>485.6</v>
      </c>
      <c r="H745" s="12" t="s">
        <v>997</v>
      </c>
      <c r="I745" s="12" t="s">
        <v>937</v>
      </c>
      <c r="J745" s="12" t="s">
        <v>894</v>
      </c>
      <c r="K745" s="12" t="s">
        <v>895</v>
      </c>
      <c r="L745" s="12"/>
      <c r="M745" s="11"/>
      <c r="N745" s="11"/>
      <c r="O745" s="11"/>
      <c r="P745" s="11"/>
    </row>
    <row r="746" spans="1:16" x14ac:dyDescent="0.25">
      <c r="A746" s="696">
        <v>56231</v>
      </c>
      <c r="B746" s="696">
        <v>1766</v>
      </c>
      <c r="C746" s="696">
        <v>615</v>
      </c>
      <c r="D746" s="696">
        <v>1000</v>
      </c>
      <c r="F746" s="700" t="s">
        <v>1288</v>
      </c>
      <c r="G746" s="701">
        <v>242.8</v>
      </c>
      <c r="H746" s="12" t="s">
        <v>997</v>
      </c>
      <c r="I746" s="12" t="s">
        <v>937</v>
      </c>
      <c r="J746" s="12" t="s">
        <v>894</v>
      </c>
      <c r="K746" s="12" t="s">
        <v>895</v>
      </c>
      <c r="L746" s="12"/>
      <c r="M746" s="11"/>
      <c r="N746" s="11"/>
      <c r="O746" s="11"/>
      <c r="P746" s="11"/>
    </row>
    <row r="747" spans="1:16" x14ac:dyDescent="0.25">
      <c r="A747" s="696">
        <v>56231</v>
      </c>
      <c r="B747" s="696">
        <v>1769</v>
      </c>
      <c r="C747" s="696">
        <v>615</v>
      </c>
      <c r="D747" s="696">
        <v>1000</v>
      </c>
      <c r="F747" s="700" t="s">
        <v>1288</v>
      </c>
      <c r="G747" s="701">
        <v>121.4</v>
      </c>
      <c r="H747" s="12" t="s">
        <v>997</v>
      </c>
      <c r="I747" s="12" t="s">
        <v>937</v>
      </c>
      <c r="J747" s="12" t="s">
        <v>894</v>
      </c>
      <c r="K747" s="12" t="s">
        <v>895</v>
      </c>
      <c r="L747" s="12"/>
      <c r="M747" s="11"/>
      <c r="N747" s="11"/>
      <c r="O747" s="11"/>
      <c r="P747" s="11"/>
    </row>
    <row r="748" spans="1:16" x14ac:dyDescent="0.25">
      <c r="A748" s="696">
        <v>56231</v>
      </c>
      <c r="B748" s="696">
        <v>1772</v>
      </c>
      <c r="C748" s="696">
        <v>615</v>
      </c>
      <c r="D748" s="696">
        <v>1000</v>
      </c>
      <c r="F748" s="700" t="s">
        <v>1288</v>
      </c>
      <c r="G748" s="701">
        <v>368.83</v>
      </c>
      <c r="H748" s="12" t="s">
        <v>997</v>
      </c>
      <c r="I748" s="12" t="s">
        <v>937</v>
      </c>
      <c r="J748" s="12" t="s">
        <v>894</v>
      </c>
      <c r="K748" s="12" t="s">
        <v>895</v>
      </c>
      <c r="L748" s="12"/>
      <c r="M748" s="11"/>
      <c r="N748" s="11"/>
      <c r="O748" s="11"/>
      <c r="P748" s="11"/>
    </row>
    <row r="749" spans="1:16" x14ac:dyDescent="0.25">
      <c r="A749" s="696">
        <v>56231</v>
      </c>
      <c r="B749" s="696">
        <v>1774</v>
      </c>
      <c r="C749" s="696">
        <v>615</v>
      </c>
      <c r="D749" s="696">
        <v>1000</v>
      </c>
      <c r="F749" s="700" t="s">
        <v>1288</v>
      </c>
      <c r="G749" s="701">
        <v>485.6</v>
      </c>
      <c r="H749" s="12" t="s">
        <v>997</v>
      </c>
      <c r="I749" s="12" t="s">
        <v>937</v>
      </c>
      <c r="J749" s="12" t="s">
        <v>894</v>
      </c>
      <c r="K749" s="12" t="s">
        <v>895</v>
      </c>
      <c r="L749" s="12"/>
      <c r="M749" s="11"/>
      <c r="N749" s="11"/>
      <c r="O749" s="11"/>
      <c r="P749" s="11"/>
    </row>
    <row r="750" spans="1:16" x14ac:dyDescent="0.25">
      <c r="A750" s="696">
        <v>56231</v>
      </c>
      <c r="B750" s="696">
        <v>1782</v>
      </c>
      <c r="C750" s="696">
        <v>615</v>
      </c>
      <c r="D750" s="696">
        <v>1000</v>
      </c>
      <c r="F750" s="700" t="s">
        <v>1288</v>
      </c>
      <c r="G750" s="701">
        <v>242.8</v>
      </c>
      <c r="H750" s="12" t="s">
        <v>997</v>
      </c>
      <c r="I750" s="12" t="s">
        <v>937</v>
      </c>
      <c r="J750" s="12" t="s">
        <v>894</v>
      </c>
      <c r="K750" s="12" t="s">
        <v>895</v>
      </c>
      <c r="L750" s="12"/>
      <c r="M750" s="11"/>
      <c r="N750" s="11"/>
      <c r="O750" s="11"/>
      <c r="P750" s="11"/>
    </row>
    <row r="751" spans="1:16" x14ac:dyDescent="0.25">
      <c r="A751" s="696">
        <v>56231</v>
      </c>
      <c r="B751" s="696">
        <v>1784</v>
      </c>
      <c r="C751" s="696">
        <v>615</v>
      </c>
      <c r="D751" s="696">
        <v>1000</v>
      </c>
      <c r="F751" s="700" t="s">
        <v>1288</v>
      </c>
      <c r="G751" s="701">
        <v>121.4</v>
      </c>
      <c r="H751" s="12" t="s">
        <v>997</v>
      </c>
      <c r="I751" s="12" t="s">
        <v>937</v>
      </c>
      <c r="J751" s="12" t="s">
        <v>894</v>
      </c>
      <c r="K751" s="12" t="s">
        <v>895</v>
      </c>
      <c r="L751" s="12"/>
      <c r="M751" s="11"/>
      <c r="N751" s="11"/>
      <c r="O751" s="11"/>
      <c r="P751" s="11"/>
    </row>
    <row r="752" spans="1:16" x14ac:dyDescent="0.25">
      <c r="A752" s="696">
        <v>56231</v>
      </c>
      <c r="B752" s="696">
        <v>1785</v>
      </c>
      <c r="C752" s="696">
        <v>615</v>
      </c>
      <c r="D752" s="696">
        <v>1000</v>
      </c>
      <c r="F752" s="700" t="s">
        <v>1288</v>
      </c>
      <c r="G752" s="701">
        <v>242.8</v>
      </c>
      <c r="H752" s="12" t="s">
        <v>997</v>
      </c>
      <c r="I752" s="12" t="s">
        <v>937</v>
      </c>
      <c r="J752" s="12" t="s">
        <v>894</v>
      </c>
      <c r="K752" s="12" t="s">
        <v>895</v>
      </c>
      <c r="L752" s="12"/>
      <c r="M752" s="11"/>
      <c r="N752" s="11"/>
      <c r="O752" s="11"/>
      <c r="P752" s="11"/>
    </row>
    <row r="753" spans="1:16" x14ac:dyDescent="0.25">
      <c r="A753" s="696">
        <v>56231</v>
      </c>
      <c r="B753" s="696">
        <v>1788</v>
      </c>
      <c r="C753" s="696">
        <v>615</v>
      </c>
      <c r="D753" s="696">
        <v>1000</v>
      </c>
      <c r="F753" s="700" t="s">
        <v>1288</v>
      </c>
      <c r="G753" s="701">
        <v>121.4</v>
      </c>
      <c r="H753" s="12" t="s">
        <v>997</v>
      </c>
      <c r="I753" s="12" t="s">
        <v>937</v>
      </c>
      <c r="J753" s="12" t="s">
        <v>894</v>
      </c>
      <c r="K753" s="12" t="s">
        <v>895</v>
      </c>
      <c r="L753" s="12"/>
      <c r="M753" s="11"/>
      <c r="N753" s="11"/>
      <c r="O753" s="11"/>
      <c r="P753" s="11"/>
    </row>
    <row r="754" spans="1:16" x14ac:dyDescent="0.25">
      <c r="A754" s="696">
        <v>56231</v>
      </c>
      <c r="B754" s="696">
        <v>1795</v>
      </c>
      <c r="C754" s="696">
        <v>615</v>
      </c>
      <c r="D754" s="696">
        <v>1000</v>
      </c>
      <c r="F754" s="700" t="s">
        <v>1288</v>
      </c>
      <c r="G754" s="701">
        <v>121.3</v>
      </c>
      <c r="H754" s="12" t="s">
        <v>997</v>
      </c>
      <c r="I754" s="12" t="s">
        <v>937</v>
      </c>
      <c r="J754" s="12" t="s">
        <v>894</v>
      </c>
      <c r="K754" s="12" t="s">
        <v>895</v>
      </c>
      <c r="L754" s="12"/>
      <c r="M754" s="11"/>
      <c r="N754" s="11"/>
      <c r="O754" s="11"/>
      <c r="P754" s="11"/>
    </row>
    <row r="755" spans="1:16" x14ac:dyDescent="0.25">
      <c r="A755" s="696">
        <v>56231</v>
      </c>
      <c r="B755" s="696">
        <v>1801</v>
      </c>
      <c r="C755" s="696">
        <v>615</v>
      </c>
      <c r="D755" s="696">
        <v>1000</v>
      </c>
      <c r="F755" s="700" t="s">
        <v>1288</v>
      </c>
      <c r="G755" s="701">
        <v>121.4</v>
      </c>
      <c r="H755" s="12" t="s">
        <v>997</v>
      </c>
      <c r="I755" s="12" t="s">
        <v>937</v>
      </c>
      <c r="J755" s="12" t="s">
        <v>894</v>
      </c>
      <c r="K755" s="12" t="s">
        <v>895</v>
      </c>
      <c r="L755" s="12"/>
      <c r="M755" s="11"/>
      <c r="N755" s="11"/>
      <c r="O755" s="11"/>
      <c r="P755" s="11"/>
    </row>
    <row r="756" spans="1:16" x14ac:dyDescent="0.25">
      <c r="A756" s="696">
        <v>56231</v>
      </c>
      <c r="B756" s="696">
        <v>1802</v>
      </c>
      <c r="C756" s="696">
        <v>615</v>
      </c>
      <c r="D756" s="696">
        <v>1000</v>
      </c>
      <c r="F756" s="700" t="s">
        <v>1288</v>
      </c>
      <c r="G756" s="701">
        <v>121.4</v>
      </c>
      <c r="H756" s="12" t="s">
        <v>997</v>
      </c>
      <c r="I756" s="12" t="s">
        <v>937</v>
      </c>
      <c r="J756" s="12" t="s">
        <v>894</v>
      </c>
      <c r="K756" s="12" t="s">
        <v>895</v>
      </c>
      <c r="L756" s="12"/>
      <c r="M756" s="11"/>
      <c r="N756" s="11"/>
      <c r="O756" s="11"/>
      <c r="P756" s="11"/>
    </row>
    <row r="757" spans="1:16" x14ac:dyDescent="0.25">
      <c r="A757" s="696">
        <v>56231</v>
      </c>
      <c r="B757" s="696">
        <v>1805</v>
      </c>
      <c r="C757" s="696">
        <v>615</v>
      </c>
      <c r="D757" s="696">
        <v>1000</v>
      </c>
      <c r="F757" s="700" t="s">
        <v>1288</v>
      </c>
      <c r="G757" s="701">
        <v>60.7</v>
      </c>
      <c r="H757" s="12" t="s">
        <v>997</v>
      </c>
      <c r="I757" s="12" t="s">
        <v>937</v>
      </c>
      <c r="J757" s="12" t="s">
        <v>894</v>
      </c>
      <c r="K757" s="12" t="s">
        <v>895</v>
      </c>
      <c r="L757" s="12"/>
      <c r="M757" s="11"/>
      <c r="N757" s="11"/>
      <c r="O757" s="11"/>
      <c r="P757" s="11"/>
    </row>
    <row r="758" spans="1:16" x14ac:dyDescent="0.25">
      <c r="A758" s="696">
        <v>56231</v>
      </c>
      <c r="B758" s="696">
        <v>1808</v>
      </c>
      <c r="C758" s="696">
        <v>615</v>
      </c>
      <c r="D758" s="696">
        <v>1000</v>
      </c>
      <c r="F758" s="700" t="s">
        <v>1288</v>
      </c>
      <c r="G758" s="701">
        <v>304.51</v>
      </c>
      <c r="H758" s="12" t="s">
        <v>997</v>
      </c>
      <c r="I758" s="12" t="s">
        <v>937</v>
      </c>
      <c r="J758" s="12" t="s">
        <v>894</v>
      </c>
      <c r="K758" s="12" t="s">
        <v>895</v>
      </c>
      <c r="L758" s="12"/>
      <c r="M758" s="11"/>
      <c r="N758" s="11"/>
      <c r="O758" s="11"/>
      <c r="P758" s="11"/>
    </row>
    <row r="759" spans="1:16" x14ac:dyDescent="0.25">
      <c r="A759" s="696">
        <v>56231</v>
      </c>
      <c r="B759" s="696">
        <v>1810</v>
      </c>
      <c r="C759" s="696">
        <v>615</v>
      </c>
      <c r="D759" s="696">
        <v>1000</v>
      </c>
      <c r="F759" s="700" t="s">
        <v>1288</v>
      </c>
      <c r="G759" s="701">
        <v>485.6</v>
      </c>
      <c r="H759" s="12" t="s">
        <v>997</v>
      </c>
      <c r="I759" s="12" t="s">
        <v>937</v>
      </c>
      <c r="J759" s="12" t="s">
        <v>894</v>
      </c>
      <c r="K759" s="12" t="s">
        <v>895</v>
      </c>
      <c r="L759" s="12"/>
      <c r="M759" s="11"/>
      <c r="N759" s="11"/>
      <c r="O759" s="11"/>
      <c r="P759" s="11"/>
    </row>
    <row r="760" spans="1:16" x14ac:dyDescent="0.25">
      <c r="A760" s="696">
        <v>56231</v>
      </c>
      <c r="B760" s="696">
        <v>1812</v>
      </c>
      <c r="C760" s="696">
        <v>615</v>
      </c>
      <c r="D760" s="696">
        <v>1000</v>
      </c>
      <c r="F760" s="700" t="s">
        <v>1288</v>
      </c>
      <c r="G760" s="701">
        <v>607</v>
      </c>
      <c r="H760" s="12" t="s">
        <v>997</v>
      </c>
      <c r="I760" s="12" t="s">
        <v>937</v>
      </c>
      <c r="J760" s="12" t="s">
        <v>894</v>
      </c>
      <c r="K760" s="12" t="s">
        <v>895</v>
      </c>
      <c r="L760" s="12"/>
      <c r="M760" s="11"/>
      <c r="N760" s="11"/>
      <c r="O760" s="11"/>
      <c r="P760" s="11"/>
    </row>
    <row r="761" spans="1:16" x14ac:dyDescent="0.25">
      <c r="A761" s="696">
        <v>56231</v>
      </c>
      <c r="B761" s="696">
        <v>1817</v>
      </c>
      <c r="C761" s="696">
        <v>615</v>
      </c>
      <c r="D761" s="696">
        <v>1000</v>
      </c>
      <c r="F761" s="700" t="s">
        <v>1288</v>
      </c>
      <c r="G761" s="701">
        <v>121.4</v>
      </c>
      <c r="H761" s="12" t="s">
        <v>997</v>
      </c>
      <c r="I761" s="12" t="s">
        <v>937</v>
      </c>
      <c r="J761" s="12" t="s">
        <v>894</v>
      </c>
      <c r="K761" s="12" t="s">
        <v>895</v>
      </c>
      <c r="L761" s="12"/>
      <c r="M761" s="11"/>
      <c r="N761" s="11"/>
      <c r="O761" s="11"/>
      <c r="P761" s="11"/>
    </row>
    <row r="762" spans="1:16" x14ac:dyDescent="0.25">
      <c r="A762" s="696">
        <v>56231</v>
      </c>
      <c r="B762" s="696">
        <v>1818</v>
      </c>
      <c r="C762" s="696">
        <v>615</v>
      </c>
      <c r="D762" s="696">
        <v>1000</v>
      </c>
      <c r="F762" s="700" t="s">
        <v>1288</v>
      </c>
      <c r="G762" s="701">
        <v>121.4</v>
      </c>
      <c r="H762" s="12" t="s">
        <v>997</v>
      </c>
      <c r="I762" s="12" t="s">
        <v>937</v>
      </c>
      <c r="J762" s="12" t="s">
        <v>894</v>
      </c>
      <c r="K762" s="12" t="s">
        <v>895</v>
      </c>
      <c r="L762" s="12"/>
      <c r="M762" s="11"/>
      <c r="N762" s="11"/>
      <c r="O762" s="11"/>
      <c r="P762" s="11"/>
    </row>
    <row r="763" spans="1:16" x14ac:dyDescent="0.25">
      <c r="A763" s="696">
        <v>56231</v>
      </c>
      <c r="B763" s="696">
        <v>1823</v>
      </c>
      <c r="C763" s="696">
        <v>615</v>
      </c>
      <c r="D763" s="696">
        <v>1000</v>
      </c>
      <c r="F763" s="700" t="s">
        <v>1288</v>
      </c>
      <c r="G763" s="701">
        <v>121.4</v>
      </c>
      <c r="H763" s="12" t="s">
        <v>997</v>
      </c>
      <c r="I763" s="12" t="s">
        <v>937</v>
      </c>
      <c r="J763" s="12" t="s">
        <v>894</v>
      </c>
      <c r="K763" s="12" t="s">
        <v>895</v>
      </c>
      <c r="L763" s="12"/>
      <c r="M763" s="11"/>
      <c r="N763" s="11"/>
      <c r="O763" s="11"/>
      <c r="P763" s="11"/>
    </row>
    <row r="764" spans="1:16" x14ac:dyDescent="0.25">
      <c r="A764" s="696">
        <v>56231</v>
      </c>
      <c r="B764" s="696">
        <v>1833</v>
      </c>
      <c r="C764" s="696">
        <v>615</v>
      </c>
      <c r="D764" s="696">
        <v>1000</v>
      </c>
      <c r="F764" s="700" t="s">
        <v>1288</v>
      </c>
      <c r="G764" s="701">
        <v>485.6</v>
      </c>
      <c r="H764" s="12" t="s">
        <v>997</v>
      </c>
      <c r="I764" s="12" t="s">
        <v>937</v>
      </c>
      <c r="J764" s="12" t="s">
        <v>894</v>
      </c>
      <c r="K764" s="12" t="s">
        <v>895</v>
      </c>
      <c r="L764" s="12"/>
      <c r="M764" s="11"/>
      <c r="N764" s="11"/>
      <c r="O764" s="11"/>
      <c r="P764" s="11"/>
    </row>
    <row r="765" spans="1:16" x14ac:dyDescent="0.25">
      <c r="A765" s="696">
        <v>56231</v>
      </c>
      <c r="B765" s="696">
        <v>1834</v>
      </c>
      <c r="C765" s="696">
        <v>615</v>
      </c>
      <c r="D765" s="696">
        <v>1000</v>
      </c>
      <c r="F765" s="700" t="s">
        <v>1288</v>
      </c>
      <c r="G765" s="701">
        <v>121.4</v>
      </c>
      <c r="H765" s="12" t="s">
        <v>997</v>
      </c>
      <c r="I765" s="12" t="s">
        <v>937</v>
      </c>
      <c r="J765" s="12" t="s">
        <v>894</v>
      </c>
      <c r="K765" s="12" t="s">
        <v>895</v>
      </c>
      <c r="L765" s="12"/>
      <c r="M765" s="11"/>
      <c r="N765" s="11"/>
      <c r="O765" s="11"/>
      <c r="P765" s="11"/>
    </row>
    <row r="766" spans="1:16" x14ac:dyDescent="0.25">
      <c r="A766" s="696">
        <v>56231</v>
      </c>
      <c r="B766" s="696">
        <v>1835</v>
      </c>
      <c r="C766" s="696">
        <v>615</v>
      </c>
      <c r="D766" s="696">
        <v>1000</v>
      </c>
      <c r="F766" s="700" t="s">
        <v>1288</v>
      </c>
      <c r="G766" s="701">
        <v>121.4</v>
      </c>
      <c r="H766" s="12" t="s">
        <v>997</v>
      </c>
      <c r="I766" s="12" t="s">
        <v>937</v>
      </c>
      <c r="J766" s="12" t="s">
        <v>894</v>
      </c>
      <c r="K766" s="12" t="s">
        <v>895</v>
      </c>
      <c r="L766" s="12"/>
      <c r="M766" s="11"/>
      <c r="N766" s="11"/>
      <c r="O766" s="11"/>
      <c r="P766" s="11"/>
    </row>
    <row r="767" spans="1:16" x14ac:dyDescent="0.25">
      <c r="A767" s="696">
        <v>56231</v>
      </c>
      <c r="B767" s="696">
        <v>1836</v>
      </c>
      <c r="C767" s="696">
        <v>615</v>
      </c>
      <c r="D767" s="696">
        <v>1000</v>
      </c>
      <c r="F767" s="700" t="s">
        <v>1288</v>
      </c>
      <c r="G767" s="701">
        <v>121.4</v>
      </c>
      <c r="H767" s="12" t="s">
        <v>997</v>
      </c>
      <c r="I767" s="12" t="s">
        <v>937</v>
      </c>
      <c r="J767" s="12" t="s">
        <v>894</v>
      </c>
      <c r="K767" s="12" t="s">
        <v>895</v>
      </c>
      <c r="L767" s="12"/>
      <c r="M767" s="11"/>
      <c r="N767" s="11"/>
      <c r="O767" s="11"/>
      <c r="P767" s="11"/>
    </row>
    <row r="768" spans="1:16" x14ac:dyDescent="0.25">
      <c r="A768" s="696">
        <v>56231</v>
      </c>
      <c r="B768" s="696">
        <v>1844</v>
      </c>
      <c r="C768" s="696">
        <v>615</v>
      </c>
      <c r="D768" s="696">
        <v>1000</v>
      </c>
      <c r="F768" s="700" t="s">
        <v>1288</v>
      </c>
      <c r="G768" s="701">
        <v>121.4</v>
      </c>
      <c r="H768" s="12" t="s">
        <v>997</v>
      </c>
      <c r="I768" s="12" t="s">
        <v>937</v>
      </c>
      <c r="J768" s="12" t="s">
        <v>894</v>
      </c>
      <c r="K768" s="12" t="s">
        <v>895</v>
      </c>
      <c r="L768" s="12"/>
      <c r="M768" s="11"/>
      <c r="N768" s="11"/>
      <c r="O768" s="11"/>
      <c r="P768" s="11"/>
    </row>
    <row r="769" spans="1:16" x14ac:dyDescent="0.25">
      <c r="A769" s="696">
        <v>56231</v>
      </c>
      <c r="B769" s="696">
        <v>1853</v>
      </c>
      <c r="C769" s="696">
        <v>615</v>
      </c>
      <c r="D769" s="696">
        <v>1000</v>
      </c>
      <c r="F769" s="700" t="s">
        <v>1288</v>
      </c>
      <c r="G769" s="701">
        <v>242.8</v>
      </c>
      <c r="H769" s="12" t="s">
        <v>997</v>
      </c>
      <c r="I769" s="12" t="s">
        <v>937</v>
      </c>
      <c r="J769" s="12" t="s">
        <v>894</v>
      </c>
      <c r="K769" s="12" t="s">
        <v>895</v>
      </c>
      <c r="L769" s="12"/>
      <c r="M769" s="11"/>
      <c r="N769" s="11"/>
      <c r="O769" s="11"/>
      <c r="P769" s="11"/>
    </row>
    <row r="770" spans="1:16" x14ac:dyDescent="0.25">
      <c r="A770" s="696">
        <v>56231</v>
      </c>
      <c r="B770" s="696">
        <v>1859</v>
      </c>
      <c r="C770" s="696">
        <v>615</v>
      </c>
      <c r="D770" s="696">
        <v>1000</v>
      </c>
      <c r="F770" s="700" t="s">
        <v>1288</v>
      </c>
      <c r="G770" s="701">
        <v>121.4</v>
      </c>
      <c r="H770" s="12" t="s">
        <v>997</v>
      </c>
      <c r="I770" s="12" t="s">
        <v>937</v>
      </c>
      <c r="J770" s="12" t="s">
        <v>894</v>
      </c>
      <c r="K770" s="12" t="s">
        <v>895</v>
      </c>
      <c r="L770" s="12"/>
      <c r="M770" s="11"/>
      <c r="N770" s="11"/>
      <c r="O770" s="11"/>
      <c r="P770" s="11"/>
    </row>
    <row r="771" spans="1:16" x14ac:dyDescent="0.25">
      <c r="A771" s="696">
        <v>56231</v>
      </c>
      <c r="B771" s="696">
        <v>1866</v>
      </c>
      <c r="C771" s="696">
        <v>615</v>
      </c>
      <c r="D771" s="696">
        <v>1000</v>
      </c>
      <c r="F771" s="700" t="s">
        <v>1288</v>
      </c>
      <c r="G771" s="701">
        <v>60.7</v>
      </c>
      <c r="H771" s="12" t="s">
        <v>997</v>
      </c>
      <c r="I771" s="12" t="s">
        <v>937</v>
      </c>
      <c r="J771" s="12" t="s">
        <v>894</v>
      </c>
      <c r="K771" s="12" t="s">
        <v>895</v>
      </c>
      <c r="L771" s="12"/>
      <c r="M771" s="11"/>
      <c r="N771" s="11"/>
      <c r="O771" s="11"/>
      <c r="P771" s="11"/>
    </row>
    <row r="772" spans="1:16" x14ac:dyDescent="0.25">
      <c r="A772" s="696">
        <v>56231</v>
      </c>
      <c r="B772" s="696">
        <v>1867</v>
      </c>
      <c r="C772" s="696">
        <v>615</v>
      </c>
      <c r="D772" s="696">
        <v>1000</v>
      </c>
      <c r="F772" s="700" t="s">
        <v>1288</v>
      </c>
      <c r="G772" s="701">
        <v>151.75</v>
      </c>
      <c r="H772" s="12" t="s">
        <v>997</v>
      </c>
      <c r="I772" s="12" t="s">
        <v>937</v>
      </c>
      <c r="J772" s="12" t="s">
        <v>894</v>
      </c>
      <c r="K772" s="12" t="s">
        <v>895</v>
      </c>
      <c r="L772" s="12"/>
      <c r="M772" s="11"/>
      <c r="N772" s="11"/>
      <c r="O772" s="11"/>
      <c r="P772" s="11"/>
    </row>
    <row r="773" spans="1:16" x14ac:dyDescent="0.25">
      <c r="A773" s="696">
        <v>56231</v>
      </c>
      <c r="B773" s="696">
        <v>1910</v>
      </c>
      <c r="C773" s="696">
        <v>615</v>
      </c>
      <c r="D773" s="696">
        <v>1000</v>
      </c>
      <c r="F773" s="700" t="s">
        <v>1288</v>
      </c>
      <c r="G773" s="701">
        <v>121.4</v>
      </c>
      <c r="H773" s="12" t="s">
        <v>997</v>
      </c>
      <c r="I773" s="12" t="s">
        <v>937</v>
      </c>
      <c r="J773" s="12" t="s">
        <v>894</v>
      </c>
      <c r="K773" s="12" t="s">
        <v>895</v>
      </c>
      <c r="L773" s="12"/>
      <c r="M773" s="11"/>
      <c r="N773" s="11"/>
      <c r="O773" s="11"/>
      <c r="P773" s="11"/>
    </row>
    <row r="774" spans="1:16" x14ac:dyDescent="0.25">
      <c r="A774" s="696">
        <v>56232</v>
      </c>
      <c r="B774" s="696">
        <v>1000</v>
      </c>
      <c r="C774" s="696">
        <v>100</v>
      </c>
      <c r="D774" s="696">
        <v>1000</v>
      </c>
      <c r="F774" s="700" t="s">
        <v>1289</v>
      </c>
      <c r="G774" s="701">
        <v>7117.02</v>
      </c>
      <c r="H774" s="12" t="s">
        <v>889</v>
      </c>
      <c r="I774" s="12" t="s">
        <v>893</v>
      </c>
      <c r="J774" s="12" t="s">
        <v>894</v>
      </c>
      <c r="K774" s="12" t="s">
        <v>895</v>
      </c>
      <c r="L774" s="12"/>
      <c r="M774" s="11"/>
      <c r="N774" s="11"/>
      <c r="O774" s="11"/>
      <c r="P774" s="11"/>
    </row>
    <row r="775" spans="1:16" x14ac:dyDescent="0.25">
      <c r="A775" s="696">
        <v>56232</v>
      </c>
      <c r="B775" s="696">
        <v>1000</v>
      </c>
      <c r="C775" s="696">
        <v>100</v>
      </c>
      <c r="D775" s="696">
        <v>2100</v>
      </c>
      <c r="F775" s="700" t="s">
        <v>1289</v>
      </c>
      <c r="G775" s="701">
        <v>4933.04</v>
      </c>
      <c r="H775" s="12" t="s">
        <v>889</v>
      </c>
      <c r="I775" s="12" t="s">
        <v>893</v>
      </c>
      <c r="J775" s="12" t="s">
        <v>902</v>
      </c>
      <c r="K775" s="12" t="s">
        <v>895</v>
      </c>
      <c r="L775" s="12"/>
      <c r="M775" s="11"/>
      <c r="N775" s="11"/>
      <c r="O775" s="11"/>
      <c r="P775" s="11"/>
    </row>
    <row r="776" spans="1:16" x14ac:dyDescent="0.25">
      <c r="A776" s="696">
        <v>56232</v>
      </c>
      <c r="B776" s="696">
        <v>1000</v>
      </c>
      <c r="C776" s="696">
        <v>100</v>
      </c>
      <c r="D776" s="696">
        <v>2110</v>
      </c>
      <c r="F776" s="700" t="s">
        <v>1289</v>
      </c>
      <c r="G776" s="701">
        <v>119.21</v>
      </c>
      <c r="H776" s="12" t="s">
        <v>889</v>
      </c>
      <c r="I776" s="12" t="s">
        <v>893</v>
      </c>
      <c r="J776" s="12" t="s">
        <v>902</v>
      </c>
      <c r="K776" s="12" t="s">
        <v>895</v>
      </c>
      <c r="L776" s="12"/>
      <c r="M776" s="11"/>
      <c r="N776" s="11"/>
      <c r="O776" s="11"/>
      <c r="P776" s="11"/>
    </row>
    <row r="777" spans="1:16" x14ac:dyDescent="0.25">
      <c r="A777" s="696">
        <v>56232</v>
      </c>
      <c r="B777" s="696">
        <v>1000</v>
      </c>
      <c r="C777" s="696">
        <v>100</v>
      </c>
      <c r="D777" s="696">
        <v>2200</v>
      </c>
      <c r="F777" s="700" t="s">
        <v>1289</v>
      </c>
      <c r="G777" s="701">
        <v>1175.6400000000001</v>
      </c>
      <c r="H777" s="12" t="s">
        <v>889</v>
      </c>
      <c r="I777" s="12" t="s">
        <v>893</v>
      </c>
      <c r="J777" s="12" t="s">
        <v>906</v>
      </c>
      <c r="K777" s="12" t="s">
        <v>895</v>
      </c>
      <c r="L777" s="12"/>
      <c r="M777" s="11"/>
      <c r="N777" s="11"/>
      <c r="O777" s="11"/>
      <c r="P777" s="11"/>
    </row>
    <row r="778" spans="1:16" x14ac:dyDescent="0.25">
      <c r="A778" s="696">
        <v>56232</v>
      </c>
      <c r="B778" s="696">
        <v>1000</v>
      </c>
      <c r="C778" s="696">
        <v>100</v>
      </c>
      <c r="D778" s="696">
        <v>2300</v>
      </c>
      <c r="F778" s="700" t="s">
        <v>1289</v>
      </c>
      <c r="G778" s="701">
        <v>378.24</v>
      </c>
      <c r="H778" s="12" t="s">
        <v>889</v>
      </c>
      <c r="I778" s="12" t="s">
        <v>893</v>
      </c>
      <c r="J778" s="12" t="s">
        <v>918</v>
      </c>
      <c r="K778" s="12" t="s">
        <v>895</v>
      </c>
      <c r="L778" s="12"/>
      <c r="M778" s="11"/>
      <c r="N778" s="11"/>
      <c r="O778" s="11"/>
      <c r="P778" s="11"/>
    </row>
    <row r="779" spans="1:16" x14ac:dyDescent="0.25">
      <c r="A779" s="696">
        <v>56232</v>
      </c>
      <c r="B779" s="696">
        <v>1000</v>
      </c>
      <c r="C779" s="696">
        <v>100</v>
      </c>
      <c r="D779" s="696">
        <v>2310</v>
      </c>
      <c r="F779" s="700" t="s">
        <v>1289</v>
      </c>
      <c r="G779" s="701">
        <v>182.9</v>
      </c>
      <c r="H779" s="12" t="s">
        <v>889</v>
      </c>
      <c r="I779" s="12" t="s">
        <v>893</v>
      </c>
      <c r="J779" s="12" t="s">
        <v>918</v>
      </c>
      <c r="K779" s="12" t="s">
        <v>895</v>
      </c>
      <c r="L779" s="12"/>
      <c r="M779" s="11"/>
      <c r="N779" s="11"/>
      <c r="O779" s="11"/>
      <c r="P779" s="11"/>
    </row>
    <row r="780" spans="1:16" x14ac:dyDescent="0.25">
      <c r="A780" s="696">
        <v>56232</v>
      </c>
      <c r="B780" s="696">
        <v>1000</v>
      </c>
      <c r="C780" s="696">
        <v>100</v>
      </c>
      <c r="D780" s="696">
        <v>2400</v>
      </c>
      <c r="F780" s="700" t="s">
        <v>1289</v>
      </c>
      <c r="G780" s="701">
        <v>1342.33</v>
      </c>
      <c r="H780" s="12" t="s">
        <v>889</v>
      </c>
      <c r="I780" s="12" t="s">
        <v>893</v>
      </c>
      <c r="J780" s="12" t="s">
        <v>922</v>
      </c>
      <c r="K780" s="12" t="s">
        <v>895</v>
      </c>
      <c r="L780" s="12"/>
      <c r="M780" s="11"/>
      <c r="N780" s="11"/>
      <c r="O780" s="11"/>
      <c r="P780" s="11"/>
    </row>
    <row r="781" spans="1:16" x14ac:dyDescent="0.25">
      <c r="A781" s="696">
        <v>56232</v>
      </c>
      <c r="B781" s="696">
        <v>1000</v>
      </c>
      <c r="C781" s="696">
        <v>100</v>
      </c>
      <c r="D781" s="696">
        <v>2410</v>
      </c>
      <c r="F781" s="700" t="s">
        <v>1289</v>
      </c>
      <c r="G781" s="701">
        <v>84.87</v>
      </c>
      <c r="H781" s="12" t="s">
        <v>889</v>
      </c>
      <c r="I781" s="12" t="s">
        <v>893</v>
      </c>
      <c r="J781" s="12" t="s">
        <v>922</v>
      </c>
      <c r="K781" s="12" t="s">
        <v>895</v>
      </c>
      <c r="L781" s="12"/>
      <c r="M781" s="11"/>
      <c r="N781" s="11"/>
      <c r="O781" s="11"/>
      <c r="P781" s="11"/>
    </row>
    <row r="782" spans="1:16" x14ac:dyDescent="0.25">
      <c r="A782" s="696">
        <v>56232</v>
      </c>
      <c r="B782" s="696">
        <v>1000</v>
      </c>
      <c r="C782" s="696">
        <v>100</v>
      </c>
      <c r="D782" s="696">
        <v>2500</v>
      </c>
      <c r="F782" s="700" t="s">
        <v>1289</v>
      </c>
      <c r="G782" s="701">
        <v>5087.74</v>
      </c>
      <c r="H782" s="12" t="s">
        <v>889</v>
      </c>
      <c r="I782" s="12" t="s">
        <v>893</v>
      </c>
      <c r="J782" s="12" t="s">
        <v>926</v>
      </c>
      <c r="K782" s="12" t="s">
        <v>895</v>
      </c>
      <c r="L782" s="12"/>
      <c r="M782" s="11"/>
      <c r="N782" s="11"/>
      <c r="O782" s="11"/>
      <c r="P782" s="11"/>
    </row>
    <row r="783" spans="1:16" x14ac:dyDescent="0.25">
      <c r="A783" s="696">
        <v>56232</v>
      </c>
      <c r="B783" s="696">
        <v>1000</v>
      </c>
      <c r="C783" s="696">
        <v>100</v>
      </c>
      <c r="D783" s="696">
        <v>2510</v>
      </c>
      <c r="F783" s="700" t="s">
        <v>1289</v>
      </c>
      <c r="G783" s="701">
        <v>132.46</v>
      </c>
      <c r="H783" s="12" t="s">
        <v>889</v>
      </c>
      <c r="I783" s="12" t="s">
        <v>893</v>
      </c>
      <c r="J783" s="12" t="s">
        <v>926</v>
      </c>
      <c r="K783" s="12" t="s">
        <v>895</v>
      </c>
      <c r="L783" s="12"/>
      <c r="M783" s="11"/>
      <c r="N783" s="11"/>
      <c r="O783" s="11"/>
      <c r="P783" s="11"/>
    </row>
    <row r="784" spans="1:16" x14ac:dyDescent="0.25">
      <c r="A784" s="696">
        <v>56232</v>
      </c>
      <c r="B784" s="696">
        <v>1000</v>
      </c>
      <c r="C784" s="696">
        <v>100</v>
      </c>
      <c r="D784" s="696">
        <v>2520</v>
      </c>
      <c r="F784" s="700" t="s">
        <v>1289</v>
      </c>
      <c r="G784" s="701">
        <v>96.76</v>
      </c>
      <c r="H784" s="12" t="s">
        <v>889</v>
      </c>
      <c r="I784" s="12" t="s">
        <v>893</v>
      </c>
      <c r="J784" s="12" t="s">
        <v>926</v>
      </c>
      <c r="K784" s="12" t="s">
        <v>895</v>
      </c>
      <c r="L784" s="12"/>
      <c r="M784" s="11"/>
      <c r="N784" s="11"/>
      <c r="O784" s="11"/>
      <c r="P784" s="11"/>
    </row>
    <row r="785" spans="1:16" x14ac:dyDescent="0.25">
      <c r="A785" s="696">
        <v>56232</v>
      </c>
      <c r="B785" s="696">
        <v>1000</v>
      </c>
      <c r="C785" s="696">
        <v>100</v>
      </c>
      <c r="D785" s="696">
        <v>2600</v>
      </c>
      <c r="F785" s="700" t="s">
        <v>1289</v>
      </c>
      <c r="G785" s="701">
        <v>148.84</v>
      </c>
      <c r="H785" s="12" t="s">
        <v>889</v>
      </c>
      <c r="I785" s="12" t="s">
        <v>893</v>
      </c>
      <c r="J785" s="12" t="s">
        <v>930</v>
      </c>
      <c r="K785" s="12" t="s">
        <v>895</v>
      </c>
      <c r="L785" s="12"/>
      <c r="M785" s="11"/>
      <c r="N785" s="11"/>
      <c r="O785" s="11"/>
      <c r="P785" s="11"/>
    </row>
    <row r="786" spans="1:16" x14ac:dyDescent="0.25">
      <c r="A786" s="696">
        <v>56232</v>
      </c>
      <c r="B786" s="696">
        <v>1000</v>
      </c>
      <c r="C786" s="696">
        <v>100</v>
      </c>
      <c r="D786" s="696">
        <v>2700</v>
      </c>
      <c r="F786" s="700" t="s">
        <v>1289</v>
      </c>
      <c r="G786" s="701">
        <v>0.11</v>
      </c>
      <c r="H786" s="12" t="s">
        <v>889</v>
      </c>
      <c r="I786" s="12" t="s">
        <v>913</v>
      </c>
      <c r="J786" s="12" t="s">
        <v>934</v>
      </c>
      <c r="K786" s="12" t="s">
        <v>895</v>
      </c>
      <c r="L786" s="12"/>
      <c r="M786" s="11"/>
      <c r="N786" s="11"/>
      <c r="O786" s="11"/>
      <c r="P786" s="11"/>
    </row>
    <row r="787" spans="1:16" x14ac:dyDescent="0.25">
      <c r="A787" s="696">
        <v>56232</v>
      </c>
      <c r="B787" s="696">
        <v>1000</v>
      </c>
      <c r="C787" s="696">
        <v>100</v>
      </c>
      <c r="D787" s="696">
        <v>3100</v>
      </c>
      <c r="F787" s="700" t="s">
        <v>1289</v>
      </c>
      <c r="G787" s="701">
        <v>0.68</v>
      </c>
      <c r="H787" s="12" t="s">
        <v>889</v>
      </c>
      <c r="I787" s="12" t="s">
        <v>893</v>
      </c>
      <c r="J787" s="12" t="s">
        <v>942</v>
      </c>
      <c r="K787" s="12" t="s">
        <v>895</v>
      </c>
      <c r="L787" s="12"/>
      <c r="M787" s="11"/>
      <c r="N787" s="11"/>
      <c r="O787" s="11"/>
      <c r="P787" s="11"/>
    </row>
    <row r="788" spans="1:16" x14ac:dyDescent="0.25">
      <c r="A788" s="696">
        <v>56232</v>
      </c>
      <c r="B788" s="696">
        <v>1000</v>
      </c>
      <c r="C788" s="696">
        <v>200</v>
      </c>
      <c r="D788" s="696">
        <v>1000</v>
      </c>
      <c r="F788" s="700" t="s">
        <v>1289</v>
      </c>
      <c r="G788" s="701">
        <v>977.53</v>
      </c>
      <c r="H788" s="12" t="s">
        <v>889</v>
      </c>
      <c r="I788" s="12" t="s">
        <v>897</v>
      </c>
      <c r="J788" s="12" t="s">
        <v>894</v>
      </c>
      <c r="K788" s="12" t="s">
        <v>895</v>
      </c>
      <c r="L788" s="12"/>
      <c r="M788" s="11"/>
      <c r="N788" s="11"/>
      <c r="O788" s="11"/>
      <c r="P788" s="11"/>
    </row>
    <row r="789" spans="1:16" x14ac:dyDescent="0.25">
      <c r="A789" s="696">
        <v>56232</v>
      </c>
      <c r="B789" s="696">
        <v>1000</v>
      </c>
      <c r="C789" s="696">
        <v>200</v>
      </c>
      <c r="D789" s="696">
        <v>2100</v>
      </c>
      <c r="F789" s="700" t="s">
        <v>1289</v>
      </c>
      <c r="G789" s="701">
        <v>116.25</v>
      </c>
      <c r="H789" s="12" t="s">
        <v>889</v>
      </c>
      <c r="I789" s="12" t="s">
        <v>897</v>
      </c>
      <c r="J789" s="12" t="s">
        <v>902</v>
      </c>
      <c r="K789" s="12" t="s">
        <v>895</v>
      </c>
      <c r="L789" s="12"/>
      <c r="M789" s="11"/>
      <c r="N789" s="11"/>
      <c r="O789" s="11"/>
      <c r="P789" s="11"/>
    </row>
    <row r="790" spans="1:16" x14ac:dyDescent="0.25">
      <c r="A790" s="696">
        <v>56232</v>
      </c>
      <c r="B790" s="696">
        <v>1000</v>
      </c>
      <c r="C790" s="696">
        <v>200</v>
      </c>
      <c r="D790" s="696">
        <v>2200</v>
      </c>
      <c r="F790" s="700" t="s">
        <v>1289</v>
      </c>
      <c r="G790" s="701">
        <v>82.36</v>
      </c>
      <c r="H790" s="12" t="s">
        <v>889</v>
      </c>
      <c r="I790" s="12" t="s">
        <v>897</v>
      </c>
      <c r="J790" s="12" t="s">
        <v>906</v>
      </c>
      <c r="K790" s="12" t="s">
        <v>895</v>
      </c>
      <c r="L790" s="12"/>
      <c r="M790" s="11"/>
      <c r="N790" s="11"/>
      <c r="O790" s="11"/>
      <c r="P790" s="11"/>
    </row>
    <row r="791" spans="1:16" x14ac:dyDescent="0.25">
      <c r="A791" s="696">
        <v>56232</v>
      </c>
      <c r="B791" s="696">
        <v>1000</v>
      </c>
      <c r="C791" s="696">
        <v>200</v>
      </c>
      <c r="D791" s="696">
        <v>2500</v>
      </c>
      <c r="F791" s="700" t="s">
        <v>1289</v>
      </c>
      <c r="G791" s="701">
        <v>7.98</v>
      </c>
      <c r="H791" s="12" t="s">
        <v>889</v>
      </c>
      <c r="I791" s="12" t="s">
        <v>897</v>
      </c>
      <c r="J791" s="12" t="s">
        <v>926</v>
      </c>
      <c r="K791" s="12" t="s">
        <v>895</v>
      </c>
      <c r="L791" s="12"/>
      <c r="M791" s="11"/>
      <c r="N791" s="11"/>
      <c r="O791" s="11"/>
      <c r="P791" s="11"/>
    </row>
    <row r="792" spans="1:16" x14ac:dyDescent="0.25">
      <c r="A792" s="696">
        <v>56232</v>
      </c>
      <c r="B792" s="696">
        <v>1000</v>
      </c>
      <c r="C792" s="696">
        <v>240</v>
      </c>
      <c r="D792" s="696">
        <v>1000</v>
      </c>
      <c r="F792" s="700" t="s">
        <v>1289</v>
      </c>
      <c r="G792" s="701">
        <v>42.21</v>
      </c>
      <c r="H792" s="12" t="s">
        <v>889</v>
      </c>
      <c r="I792" s="12" t="s">
        <v>897</v>
      </c>
      <c r="J792" s="12" t="s">
        <v>894</v>
      </c>
      <c r="K792" s="12" t="s">
        <v>895</v>
      </c>
      <c r="L792" s="12"/>
      <c r="M792" s="11"/>
      <c r="N792" s="11"/>
      <c r="O792" s="11"/>
      <c r="P792" s="11"/>
    </row>
    <row r="793" spans="1:16" x14ac:dyDescent="0.25">
      <c r="A793" s="696">
        <v>56232</v>
      </c>
      <c r="B793" s="696">
        <v>1000</v>
      </c>
      <c r="C793" s="696">
        <v>260</v>
      </c>
      <c r="D793" s="696">
        <v>1000</v>
      </c>
      <c r="F793" s="700" t="s">
        <v>1289</v>
      </c>
      <c r="G793" s="701">
        <v>95.06</v>
      </c>
      <c r="H793" s="12" t="s">
        <v>896</v>
      </c>
      <c r="I793" s="12" t="s">
        <v>901</v>
      </c>
      <c r="J793" s="12" t="s">
        <v>894</v>
      </c>
      <c r="K793" s="12" t="s">
        <v>895</v>
      </c>
      <c r="L793" s="12"/>
      <c r="M793" s="11"/>
      <c r="N793" s="11"/>
      <c r="O793" s="11"/>
      <c r="P793" s="11"/>
    </row>
    <row r="794" spans="1:16" x14ac:dyDescent="0.25">
      <c r="A794" s="696">
        <v>56232</v>
      </c>
      <c r="B794" s="696">
        <v>1000</v>
      </c>
      <c r="C794" s="696">
        <v>400</v>
      </c>
      <c r="D794" s="696">
        <v>2700</v>
      </c>
      <c r="F794" s="700" t="s">
        <v>1289</v>
      </c>
      <c r="G794" s="701">
        <v>10.17</v>
      </c>
      <c r="H794" s="12" t="s">
        <v>889</v>
      </c>
      <c r="I794" s="12" t="s">
        <v>913</v>
      </c>
      <c r="J794" s="12" t="s">
        <v>934</v>
      </c>
      <c r="K794" s="12" t="s">
        <v>895</v>
      </c>
      <c r="L794" s="12"/>
      <c r="M794" s="11"/>
      <c r="N794" s="11"/>
      <c r="O794" s="11"/>
      <c r="P794" s="11"/>
    </row>
    <row r="795" spans="1:16" x14ac:dyDescent="0.25">
      <c r="A795" s="696">
        <v>56232</v>
      </c>
      <c r="B795" s="696">
        <v>1000</v>
      </c>
      <c r="C795" s="696">
        <v>550</v>
      </c>
      <c r="D795" s="696">
        <v>1000</v>
      </c>
      <c r="F795" s="700" t="s">
        <v>1289</v>
      </c>
      <c r="G795" s="701">
        <v>117.11</v>
      </c>
      <c r="H795" s="12" t="s">
        <v>889</v>
      </c>
      <c r="I795" s="12" t="s">
        <v>933</v>
      </c>
      <c r="J795" s="12" t="s">
        <v>894</v>
      </c>
      <c r="K795" s="12" t="s">
        <v>895</v>
      </c>
      <c r="L795" s="12"/>
      <c r="M795" s="11"/>
      <c r="N795" s="11"/>
      <c r="O795" s="11"/>
      <c r="P795" s="11"/>
    </row>
    <row r="796" spans="1:16" x14ac:dyDescent="0.25">
      <c r="A796" s="696">
        <v>56232</v>
      </c>
      <c r="B796" s="696">
        <v>1000</v>
      </c>
      <c r="C796" s="696">
        <v>615</v>
      </c>
      <c r="D796" s="696">
        <v>1000</v>
      </c>
      <c r="F796" s="700" t="s">
        <v>1289</v>
      </c>
      <c r="G796" s="701">
        <v>5.22</v>
      </c>
      <c r="H796" s="12" t="s">
        <v>889</v>
      </c>
      <c r="I796" s="12" t="s">
        <v>937</v>
      </c>
      <c r="J796" s="12" t="s">
        <v>894</v>
      </c>
      <c r="K796" s="12" t="s">
        <v>895</v>
      </c>
      <c r="L796" s="12"/>
      <c r="M796" s="11"/>
      <c r="N796" s="11"/>
      <c r="O796" s="11"/>
      <c r="P796" s="11"/>
    </row>
    <row r="797" spans="1:16" x14ac:dyDescent="0.25">
      <c r="A797" s="696">
        <v>56232</v>
      </c>
      <c r="B797" s="696">
        <v>1012</v>
      </c>
      <c r="C797" s="696">
        <v>100</v>
      </c>
      <c r="D797" s="696">
        <v>1000</v>
      </c>
      <c r="F797" s="700" t="s">
        <v>1289</v>
      </c>
      <c r="G797" s="701">
        <v>3651.61</v>
      </c>
      <c r="H797" s="12" t="s">
        <v>890</v>
      </c>
      <c r="I797" s="12" t="s">
        <v>893</v>
      </c>
      <c r="J797" s="12" t="s">
        <v>894</v>
      </c>
      <c r="K797" s="12" t="s">
        <v>895</v>
      </c>
      <c r="L797" s="12"/>
      <c r="M797" s="11"/>
      <c r="N797" s="11"/>
      <c r="O797" s="11"/>
      <c r="P797" s="11"/>
    </row>
    <row r="798" spans="1:16" x14ac:dyDescent="0.25">
      <c r="A798" s="696">
        <v>56232</v>
      </c>
      <c r="B798" s="696">
        <v>1012</v>
      </c>
      <c r="C798" s="696">
        <v>100</v>
      </c>
      <c r="D798" s="696">
        <v>2100</v>
      </c>
      <c r="F798" s="700" t="s">
        <v>1289</v>
      </c>
      <c r="G798" s="701">
        <v>384.98</v>
      </c>
      <c r="H798" s="12" t="s">
        <v>890</v>
      </c>
      <c r="I798" s="12" t="s">
        <v>893</v>
      </c>
      <c r="J798" s="12" t="s">
        <v>902</v>
      </c>
      <c r="K798" s="12" t="s">
        <v>895</v>
      </c>
      <c r="L798" s="12"/>
      <c r="M798" s="11"/>
      <c r="N798" s="11"/>
      <c r="O798" s="11"/>
      <c r="P798" s="11"/>
    </row>
    <row r="799" spans="1:16" x14ac:dyDescent="0.25">
      <c r="A799" s="696">
        <v>56232</v>
      </c>
      <c r="B799" s="696">
        <v>1012</v>
      </c>
      <c r="C799" s="696">
        <v>100</v>
      </c>
      <c r="D799" s="696">
        <v>2200</v>
      </c>
      <c r="F799" s="700" t="s">
        <v>1289</v>
      </c>
      <c r="G799" s="701">
        <v>27.13</v>
      </c>
      <c r="H799" s="12" t="s">
        <v>890</v>
      </c>
      <c r="I799" s="12" t="s">
        <v>893</v>
      </c>
      <c r="J799" s="12" t="s">
        <v>906</v>
      </c>
      <c r="K799" s="12" t="s">
        <v>895</v>
      </c>
      <c r="L799" s="12"/>
      <c r="M799" s="11"/>
      <c r="N799" s="11"/>
      <c r="O799" s="11"/>
      <c r="P799" s="11"/>
    </row>
    <row r="800" spans="1:16" x14ac:dyDescent="0.25">
      <c r="A800" s="696">
        <v>56232</v>
      </c>
      <c r="B800" s="696">
        <v>1012</v>
      </c>
      <c r="C800" s="696">
        <v>200</v>
      </c>
      <c r="D800" s="696">
        <v>1000</v>
      </c>
      <c r="F800" s="700" t="s">
        <v>1289</v>
      </c>
      <c r="G800" s="701">
        <v>79.75</v>
      </c>
      <c r="H800" s="12" t="s">
        <v>890</v>
      </c>
      <c r="I800" s="12" t="s">
        <v>897</v>
      </c>
      <c r="J800" s="12" t="s">
        <v>894</v>
      </c>
      <c r="K800" s="12" t="s">
        <v>895</v>
      </c>
      <c r="L800" s="12"/>
      <c r="M800" s="11"/>
      <c r="N800" s="11"/>
      <c r="O800" s="11"/>
      <c r="P800" s="11"/>
    </row>
    <row r="801" spans="1:16" x14ac:dyDescent="0.25">
      <c r="A801" s="696">
        <v>56232</v>
      </c>
      <c r="B801" s="696">
        <v>1012</v>
      </c>
      <c r="C801" s="696">
        <v>200</v>
      </c>
      <c r="D801" s="696">
        <v>2100</v>
      </c>
      <c r="F801" s="700" t="s">
        <v>1289</v>
      </c>
      <c r="G801" s="701">
        <v>45.44</v>
      </c>
      <c r="H801" s="12" t="s">
        <v>890</v>
      </c>
      <c r="I801" s="12" t="s">
        <v>897</v>
      </c>
      <c r="J801" s="12" t="s">
        <v>902</v>
      </c>
      <c r="K801" s="12" t="s">
        <v>895</v>
      </c>
      <c r="L801" s="12"/>
      <c r="M801" s="11"/>
      <c r="N801" s="11"/>
      <c r="O801" s="11"/>
      <c r="P801" s="11"/>
    </row>
    <row r="802" spans="1:16" x14ac:dyDescent="0.25">
      <c r="A802" s="696">
        <v>56232</v>
      </c>
      <c r="B802" s="696">
        <v>1012</v>
      </c>
      <c r="C802" s="696">
        <v>260</v>
      </c>
      <c r="D802" s="696">
        <v>1000</v>
      </c>
      <c r="F802" s="700" t="s">
        <v>1289</v>
      </c>
      <c r="G802" s="701">
        <v>7.25</v>
      </c>
      <c r="H802" s="12" t="s">
        <v>890</v>
      </c>
      <c r="I802" s="12" t="s">
        <v>901</v>
      </c>
      <c r="J802" s="12" t="s">
        <v>894</v>
      </c>
      <c r="K802" s="12" t="s">
        <v>895</v>
      </c>
      <c r="L802" s="12"/>
      <c r="M802" s="11"/>
      <c r="N802" s="11"/>
      <c r="O802" s="11"/>
      <c r="P802" s="11"/>
    </row>
    <row r="803" spans="1:16" x14ac:dyDescent="0.25">
      <c r="A803" s="696">
        <v>56232</v>
      </c>
      <c r="B803" s="696">
        <v>1220</v>
      </c>
      <c r="C803" s="696">
        <v>200</v>
      </c>
      <c r="D803" s="696">
        <v>1000</v>
      </c>
      <c r="F803" s="700" t="s">
        <v>1289</v>
      </c>
      <c r="G803" s="701">
        <v>106.27</v>
      </c>
      <c r="H803" s="12" t="s">
        <v>932</v>
      </c>
      <c r="I803" s="12" t="s">
        <v>897</v>
      </c>
      <c r="J803" s="12" t="s">
        <v>894</v>
      </c>
      <c r="K803" s="12" t="s">
        <v>895</v>
      </c>
      <c r="L803" s="12"/>
      <c r="M803" s="11"/>
      <c r="N803" s="11"/>
      <c r="O803" s="11"/>
      <c r="P803" s="11"/>
    </row>
    <row r="804" spans="1:16" x14ac:dyDescent="0.25">
      <c r="A804" s="696">
        <v>56232</v>
      </c>
      <c r="B804" s="696">
        <v>1220</v>
      </c>
      <c r="C804" s="696">
        <v>200</v>
      </c>
      <c r="D804" s="696">
        <v>2100</v>
      </c>
      <c r="F804" s="700" t="s">
        <v>1289</v>
      </c>
      <c r="G804" s="701">
        <v>529.04</v>
      </c>
      <c r="H804" s="12" t="s">
        <v>932</v>
      </c>
      <c r="I804" s="12" t="s">
        <v>897</v>
      </c>
      <c r="J804" s="12" t="s">
        <v>902</v>
      </c>
      <c r="K804" s="12" t="s">
        <v>895</v>
      </c>
      <c r="L804" s="12"/>
      <c r="M804" s="11"/>
      <c r="N804" s="11"/>
      <c r="O804" s="11"/>
      <c r="P804" s="11"/>
    </row>
    <row r="805" spans="1:16" x14ac:dyDescent="0.25">
      <c r="A805" s="696">
        <v>56232</v>
      </c>
      <c r="B805" s="696">
        <v>1220</v>
      </c>
      <c r="C805" s="696">
        <v>200</v>
      </c>
      <c r="D805" s="696">
        <v>2200</v>
      </c>
      <c r="F805" s="700" t="s">
        <v>1289</v>
      </c>
      <c r="G805" s="701">
        <v>0</v>
      </c>
      <c r="H805" s="12" t="s">
        <v>932</v>
      </c>
      <c r="I805" s="12" t="s">
        <v>897</v>
      </c>
      <c r="J805" s="12" t="s">
        <v>906</v>
      </c>
      <c r="K805" s="12" t="s">
        <v>895</v>
      </c>
      <c r="L805" s="12"/>
      <c r="M805" s="11"/>
      <c r="N805" s="11"/>
      <c r="O805" s="11"/>
      <c r="P805" s="11"/>
    </row>
    <row r="806" spans="1:16" x14ac:dyDescent="0.25">
      <c r="A806" s="696">
        <v>56221</v>
      </c>
      <c r="B806" s="696">
        <v>1322</v>
      </c>
      <c r="C806" s="696">
        <v>100</v>
      </c>
      <c r="D806" s="696">
        <v>2400</v>
      </c>
      <c r="F806" s="700" t="s">
        <v>1286</v>
      </c>
      <c r="G806" s="701">
        <v>5789.3</v>
      </c>
      <c r="H806" s="12" t="s">
        <v>968</v>
      </c>
      <c r="I806" s="12" t="s">
        <v>893</v>
      </c>
      <c r="J806" s="12" t="s">
        <v>922</v>
      </c>
      <c r="K806" s="12" t="s">
        <v>895</v>
      </c>
      <c r="L806" s="12"/>
      <c r="M806" s="11"/>
      <c r="N806" s="11"/>
      <c r="O806" s="11"/>
      <c r="P806" s="11"/>
    </row>
    <row r="807" spans="1:16" x14ac:dyDescent="0.25">
      <c r="A807" s="696">
        <v>56222</v>
      </c>
      <c r="B807" s="696">
        <v>1322</v>
      </c>
      <c r="C807" s="696">
        <v>100</v>
      </c>
      <c r="D807" s="696">
        <v>2400</v>
      </c>
      <c r="F807" s="700" t="s">
        <v>1287</v>
      </c>
      <c r="G807" s="701">
        <v>1354</v>
      </c>
      <c r="H807" s="12" t="s">
        <v>968</v>
      </c>
      <c r="I807" s="12" t="s">
        <v>893</v>
      </c>
      <c r="J807" s="12" t="s">
        <v>922</v>
      </c>
      <c r="K807" s="12" t="s">
        <v>895</v>
      </c>
      <c r="L807" s="12"/>
      <c r="M807" s="11"/>
      <c r="N807" s="11"/>
      <c r="O807" s="11"/>
      <c r="P807" s="11"/>
    </row>
    <row r="808" spans="1:16" x14ac:dyDescent="0.25">
      <c r="A808" s="696">
        <v>56231</v>
      </c>
      <c r="B808" s="696">
        <v>1322</v>
      </c>
      <c r="C808" s="696">
        <v>100</v>
      </c>
      <c r="D808" s="696">
        <v>2400</v>
      </c>
      <c r="F808" s="700" t="s">
        <v>1288</v>
      </c>
      <c r="G808" s="701">
        <v>11384</v>
      </c>
      <c r="H808" s="12" t="s">
        <v>968</v>
      </c>
      <c r="I808" s="12" t="s">
        <v>893</v>
      </c>
      <c r="J808" s="12" t="s">
        <v>922</v>
      </c>
      <c r="K808" s="12" t="s">
        <v>895</v>
      </c>
      <c r="L808" s="12"/>
      <c r="M808" s="11"/>
      <c r="N808" s="11"/>
      <c r="O808" s="11"/>
      <c r="P808" s="11"/>
    </row>
    <row r="809" spans="1:16" x14ac:dyDescent="0.25">
      <c r="A809" s="696">
        <v>56232</v>
      </c>
      <c r="B809" s="696">
        <v>1322</v>
      </c>
      <c r="C809" s="696">
        <v>100</v>
      </c>
      <c r="D809" s="696">
        <v>2400</v>
      </c>
      <c r="F809" s="700" t="s">
        <v>1289</v>
      </c>
      <c r="G809" s="701">
        <v>139.86000000000001</v>
      </c>
      <c r="H809" s="12" t="s">
        <v>968</v>
      </c>
      <c r="I809" s="12" t="s">
        <v>893</v>
      </c>
      <c r="J809" s="12" t="s">
        <v>922</v>
      </c>
      <c r="K809" s="12" t="s">
        <v>895</v>
      </c>
      <c r="L809" s="12"/>
      <c r="M809" s="11"/>
      <c r="N809" s="11"/>
      <c r="O809" s="11"/>
      <c r="P809" s="11"/>
    </row>
    <row r="810" spans="1:16" x14ac:dyDescent="0.25">
      <c r="A810" s="696">
        <v>56210</v>
      </c>
      <c r="B810" s="696">
        <v>1322</v>
      </c>
      <c r="C810" s="696">
        <v>100</v>
      </c>
      <c r="D810" s="696">
        <v>2500</v>
      </c>
      <c r="F810" s="700" t="s">
        <v>1281</v>
      </c>
      <c r="G810" s="701">
        <v>328698.07</v>
      </c>
      <c r="H810" s="12" t="s">
        <v>968</v>
      </c>
      <c r="I810" s="12" t="s">
        <v>893</v>
      </c>
      <c r="J810" s="12" t="s">
        <v>926</v>
      </c>
      <c r="K810" s="12" t="s">
        <v>895</v>
      </c>
      <c r="L810" s="12"/>
      <c r="M810" s="11"/>
      <c r="N810" s="11"/>
      <c r="O810" s="11"/>
      <c r="P810" s="11"/>
    </row>
    <row r="811" spans="1:16" x14ac:dyDescent="0.25">
      <c r="A811" s="696">
        <v>56211</v>
      </c>
      <c r="B811" s="696">
        <v>1322</v>
      </c>
      <c r="C811" s="696">
        <v>100</v>
      </c>
      <c r="D811" s="696">
        <v>2500</v>
      </c>
      <c r="F811" s="700" t="s">
        <v>1282</v>
      </c>
      <c r="G811" s="701">
        <v>180</v>
      </c>
      <c r="H811" s="12" t="s">
        <v>968</v>
      </c>
      <c r="I811" s="12" t="s">
        <v>893</v>
      </c>
      <c r="J811" s="12" t="s">
        <v>926</v>
      </c>
      <c r="K811" s="12" t="s">
        <v>895</v>
      </c>
      <c r="L811" s="12"/>
      <c r="M811" s="11"/>
      <c r="N811" s="11"/>
      <c r="O811" s="11"/>
      <c r="P811" s="11"/>
    </row>
    <row r="812" spans="1:16" x14ac:dyDescent="0.25">
      <c r="A812" s="696">
        <v>56212</v>
      </c>
      <c r="B812" s="696">
        <v>1322</v>
      </c>
      <c r="C812" s="696">
        <v>100</v>
      </c>
      <c r="D812" s="696">
        <v>2500</v>
      </c>
      <c r="F812" s="700" t="s">
        <v>1283</v>
      </c>
      <c r="G812" s="701">
        <v>36.47</v>
      </c>
      <c r="H812" s="12" t="s">
        <v>968</v>
      </c>
      <c r="I812" s="12" t="s">
        <v>893</v>
      </c>
      <c r="J812" s="12" t="s">
        <v>926</v>
      </c>
      <c r="K812" s="12" t="s">
        <v>895</v>
      </c>
      <c r="L812" s="12"/>
      <c r="M812" s="11"/>
      <c r="N812" s="11"/>
      <c r="O812" s="11"/>
      <c r="P812" s="11"/>
    </row>
    <row r="813" spans="1:16" x14ac:dyDescent="0.25">
      <c r="A813" s="696">
        <v>56232</v>
      </c>
      <c r="B813" s="696">
        <v>1487</v>
      </c>
      <c r="C813" s="696">
        <v>100</v>
      </c>
      <c r="D813" s="696">
        <v>1000</v>
      </c>
      <c r="F813" s="700" t="s">
        <v>1289</v>
      </c>
      <c r="G813" s="701">
        <v>0</v>
      </c>
      <c r="H813" s="12" t="s">
        <v>995</v>
      </c>
      <c r="I813" s="12" t="s">
        <v>893</v>
      </c>
      <c r="J813" s="12" t="s">
        <v>894</v>
      </c>
      <c r="K813" s="12" t="s">
        <v>895</v>
      </c>
      <c r="L813" s="12"/>
      <c r="M813" s="11"/>
      <c r="N813" s="11"/>
      <c r="O813" s="11"/>
      <c r="P813" s="11"/>
    </row>
    <row r="814" spans="1:16" x14ac:dyDescent="0.25">
      <c r="A814" s="696">
        <v>56232</v>
      </c>
      <c r="B814" s="696">
        <v>1487</v>
      </c>
      <c r="C814" s="696">
        <v>100</v>
      </c>
      <c r="D814" s="696">
        <v>2100</v>
      </c>
      <c r="F814" s="700" t="s">
        <v>1289</v>
      </c>
      <c r="G814" s="701">
        <v>98.1</v>
      </c>
      <c r="H814" s="12" t="s">
        <v>995</v>
      </c>
      <c r="I814" s="12" t="s">
        <v>893</v>
      </c>
      <c r="J814" s="12" t="s">
        <v>902</v>
      </c>
      <c r="K814" s="12" t="s">
        <v>895</v>
      </c>
      <c r="L814" s="12"/>
      <c r="M814" s="11"/>
      <c r="N814" s="11"/>
      <c r="O814" s="11"/>
      <c r="P814" s="11"/>
    </row>
    <row r="815" spans="1:16" x14ac:dyDescent="0.25">
      <c r="A815" s="696">
        <v>56232</v>
      </c>
      <c r="B815" s="696">
        <v>1531</v>
      </c>
      <c r="C815" s="696">
        <v>100</v>
      </c>
      <c r="D815" s="696">
        <v>1000</v>
      </c>
      <c r="F815" s="700" t="s">
        <v>1289</v>
      </c>
      <c r="G815" s="701">
        <v>0</v>
      </c>
      <c r="H815" s="12" t="s">
        <v>997</v>
      </c>
      <c r="I815" s="12" t="s">
        <v>893</v>
      </c>
      <c r="J815" s="12" t="s">
        <v>894</v>
      </c>
      <c r="K815" s="12" t="s">
        <v>895</v>
      </c>
      <c r="L815" s="12"/>
      <c r="M815" s="11"/>
      <c r="N815" s="11"/>
      <c r="O815" s="11"/>
      <c r="P815" s="11"/>
    </row>
    <row r="816" spans="1:16" x14ac:dyDescent="0.25">
      <c r="A816" s="696">
        <v>56232</v>
      </c>
      <c r="B816" s="696">
        <v>1531</v>
      </c>
      <c r="C816" s="696">
        <v>100</v>
      </c>
      <c r="D816" s="696">
        <v>2200</v>
      </c>
      <c r="F816" s="700" t="s">
        <v>1289</v>
      </c>
      <c r="G816" s="701">
        <v>703.2</v>
      </c>
      <c r="H816" s="12" t="s">
        <v>997</v>
      </c>
      <c r="I816" s="12" t="s">
        <v>893</v>
      </c>
      <c r="J816" s="12" t="s">
        <v>906</v>
      </c>
      <c r="K816" s="12" t="s">
        <v>895</v>
      </c>
      <c r="L816" s="12"/>
      <c r="M816" s="11"/>
      <c r="N816" s="11"/>
      <c r="O816" s="11"/>
      <c r="P816" s="11"/>
    </row>
    <row r="817" spans="1:16" x14ac:dyDescent="0.25">
      <c r="A817" s="696">
        <v>56232</v>
      </c>
      <c r="B817" s="696">
        <v>1531</v>
      </c>
      <c r="C817" s="696">
        <v>100</v>
      </c>
      <c r="D817" s="696">
        <v>2500</v>
      </c>
      <c r="F817" s="700" t="s">
        <v>1289</v>
      </c>
      <c r="G817" s="701">
        <v>5.24</v>
      </c>
      <c r="H817" s="12" t="s">
        <v>997</v>
      </c>
      <c r="I817" s="12" t="s">
        <v>893</v>
      </c>
      <c r="J817" s="12" t="s">
        <v>926</v>
      </c>
      <c r="K817" s="12" t="s">
        <v>895</v>
      </c>
      <c r="L817" s="12"/>
      <c r="M817" s="11"/>
      <c r="N817" s="11"/>
      <c r="O817" s="11"/>
      <c r="P817" s="11"/>
    </row>
    <row r="818" spans="1:16" x14ac:dyDescent="0.25">
      <c r="A818" s="696">
        <v>56232</v>
      </c>
      <c r="B818" s="696">
        <v>1532</v>
      </c>
      <c r="C818" s="696">
        <v>100</v>
      </c>
      <c r="D818" s="696">
        <v>1000</v>
      </c>
      <c r="F818" s="700" t="s">
        <v>1289</v>
      </c>
      <c r="G818" s="701">
        <v>85.81</v>
      </c>
      <c r="H818" s="12" t="s">
        <v>997</v>
      </c>
      <c r="I818" s="12" t="s">
        <v>893</v>
      </c>
      <c r="J818" s="12" t="s">
        <v>894</v>
      </c>
      <c r="K818" s="12" t="s">
        <v>895</v>
      </c>
      <c r="L818" s="12"/>
      <c r="M818" s="11"/>
      <c r="N818" s="11"/>
      <c r="O818" s="11"/>
      <c r="P818" s="11"/>
    </row>
    <row r="819" spans="1:16" x14ac:dyDescent="0.25">
      <c r="A819" s="696">
        <v>56232</v>
      </c>
      <c r="B819" s="696">
        <v>1532</v>
      </c>
      <c r="C819" s="696">
        <v>100</v>
      </c>
      <c r="D819" s="696">
        <v>2200</v>
      </c>
      <c r="F819" s="700" t="s">
        <v>1289</v>
      </c>
      <c r="G819" s="701">
        <v>0.48</v>
      </c>
      <c r="H819" s="12" t="s">
        <v>997</v>
      </c>
      <c r="I819" s="12" t="s">
        <v>893</v>
      </c>
      <c r="J819" s="12" t="s">
        <v>906</v>
      </c>
      <c r="K819" s="12" t="s">
        <v>895</v>
      </c>
      <c r="L819" s="12"/>
      <c r="M819" s="11"/>
      <c r="N819" s="11"/>
      <c r="O819" s="11"/>
      <c r="P819" s="11"/>
    </row>
    <row r="820" spans="1:16" x14ac:dyDescent="0.25">
      <c r="A820" s="696">
        <v>56232</v>
      </c>
      <c r="B820" s="696">
        <v>1532</v>
      </c>
      <c r="C820" s="696">
        <v>100</v>
      </c>
      <c r="D820" s="696">
        <v>2500</v>
      </c>
      <c r="F820" s="700" t="s">
        <v>1289</v>
      </c>
      <c r="G820" s="701">
        <v>24.26</v>
      </c>
      <c r="H820" s="12" t="s">
        <v>997</v>
      </c>
      <c r="I820" s="12" t="s">
        <v>893</v>
      </c>
      <c r="J820" s="12" t="s">
        <v>926</v>
      </c>
      <c r="K820" s="12" t="s">
        <v>895</v>
      </c>
      <c r="L820" s="12"/>
      <c r="M820" s="11"/>
      <c r="N820" s="11"/>
      <c r="O820" s="11"/>
      <c r="P820" s="11"/>
    </row>
    <row r="821" spans="1:16" x14ac:dyDescent="0.25">
      <c r="A821" s="696">
        <v>56232</v>
      </c>
      <c r="B821" s="696">
        <v>1534</v>
      </c>
      <c r="C821" s="696">
        <v>100</v>
      </c>
      <c r="D821" s="696">
        <v>2700</v>
      </c>
      <c r="F821" s="700" t="s">
        <v>1289</v>
      </c>
      <c r="G821" s="701">
        <v>0.14000000000000001</v>
      </c>
      <c r="H821" s="12" t="s">
        <v>997</v>
      </c>
      <c r="I821" s="12" t="s">
        <v>913</v>
      </c>
      <c r="J821" s="12" t="s">
        <v>934</v>
      </c>
      <c r="K821" s="12" t="s">
        <v>895</v>
      </c>
      <c r="L821" s="12"/>
      <c r="M821" s="11"/>
      <c r="N821" s="11"/>
      <c r="O821" s="11"/>
      <c r="P821" s="11"/>
    </row>
    <row r="822" spans="1:16" x14ac:dyDescent="0.25">
      <c r="A822" s="696">
        <v>56232</v>
      </c>
      <c r="B822" s="696">
        <v>1534</v>
      </c>
      <c r="C822" s="696">
        <v>400</v>
      </c>
      <c r="D822" s="696">
        <v>2700</v>
      </c>
      <c r="F822" s="700" t="s">
        <v>1289</v>
      </c>
      <c r="G822" s="701">
        <v>11.27</v>
      </c>
      <c r="H822" s="12" t="s">
        <v>997</v>
      </c>
      <c r="I822" s="12" t="s">
        <v>913</v>
      </c>
      <c r="J822" s="12" t="s">
        <v>934</v>
      </c>
      <c r="K822" s="12" t="s">
        <v>895</v>
      </c>
      <c r="L822" s="12"/>
      <c r="M822" s="11"/>
      <c r="N822" s="11"/>
      <c r="O822" s="11"/>
      <c r="P822" s="11"/>
    </row>
    <row r="823" spans="1:16" x14ac:dyDescent="0.25">
      <c r="A823" s="696">
        <v>56232</v>
      </c>
      <c r="B823" s="696">
        <v>1536</v>
      </c>
      <c r="C823" s="696">
        <v>100</v>
      </c>
      <c r="D823" s="696">
        <v>2200</v>
      </c>
      <c r="F823" s="700" t="s">
        <v>1289</v>
      </c>
      <c r="G823" s="701">
        <v>6.18</v>
      </c>
      <c r="H823" s="12" t="s">
        <v>997</v>
      </c>
      <c r="I823" s="12" t="s">
        <v>893</v>
      </c>
      <c r="J823" s="12" t="s">
        <v>906</v>
      </c>
      <c r="K823" s="12" t="s">
        <v>895</v>
      </c>
      <c r="L823" s="12"/>
      <c r="M823" s="11"/>
      <c r="N823" s="11"/>
      <c r="O823" s="11"/>
      <c r="P823" s="11"/>
    </row>
    <row r="824" spans="1:16" x14ac:dyDescent="0.25">
      <c r="A824" s="696">
        <v>56232</v>
      </c>
      <c r="B824" s="696">
        <v>1536</v>
      </c>
      <c r="C824" s="696">
        <v>100</v>
      </c>
      <c r="D824" s="696">
        <v>2300</v>
      </c>
      <c r="F824" s="700" t="s">
        <v>1289</v>
      </c>
      <c r="G824" s="701">
        <v>11.18</v>
      </c>
      <c r="H824" s="12" t="s">
        <v>997</v>
      </c>
      <c r="I824" s="12" t="s">
        <v>893</v>
      </c>
      <c r="J824" s="12" t="s">
        <v>918</v>
      </c>
      <c r="K824" s="12" t="s">
        <v>895</v>
      </c>
      <c r="L824" s="12"/>
      <c r="M824" s="11"/>
      <c r="N824" s="11"/>
      <c r="O824" s="11"/>
      <c r="P824" s="11"/>
    </row>
    <row r="825" spans="1:16" x14ac:dyDescent="0.25">
      <c r="A825" s="696">
        <v>56232</v>
      </c>
      <c r="B825" s="696">
        <v>1536</v>
      </c>
      <c r="C825" s="696">
        <v>100</v>
      </c>
      <c r="D825" s="696">
        <v>2500</v>
      </c>
      <c r="F825" s="700" t="s">
        <v>1289</v>
      </c>
      <c r="G825" s="701">
        <v>95.63</v>
      </c>
      <c r="H825" s="12" t="s">
        <v>997</v>
      </c>
      <c r="I825" s="12" t="s">
        <v>893</v>
      </c>
      <c r="J825" s="12" t="s">
        <v>926</v>
      </c>
      <c r="K825" s="12" t="s">
        <v>895</v>
      </c>
      <c r="L825" s="12"/>
      <c r="M825" s="11"/>
      <c r="N825" s="11"/>
      <c r="O825" s="11"/>
      <c r="P825" s="11"/>
    </row>
    <row r="826" spans="1:16" x14ac:dyDescent="0.25">
      <c r="A826" s="696">
        <v>56232</v>
      </c>
      <c r="B826" s="696">
        <v>1540</v>
      </c>
      <c r="C826" s="696">
        <v>100</v>
      </c>
      <c r="D826" s="696">
        <v>1000</v>
      </c>
      <c r="F826" s="700" t="s">
        <v>1289</v>
      </c>
      <c r="G826" s="701">
        <v>28.14</v>
      </c>
      <c r="H826" s="12" t="s">
        <v>997</v>
      </c>
      <c r="I826" s="12" t="s">
        <v>893</v>
      </c>
      <c r="J826" s="12" t="s">
        <v>894</v>
      </c>
      <c r="K826" s="12" t="s">
        <v>895</v>
      </c>
      <c r="L826" s="12"/>
      <c r="M826" s="11"/>
      <c r="N826" s="11"/>
      <c r="O826" s="11"/>
      <c r="P826" s="11"/>
    </row>
    <row r="827" spans="1:16" x14ac:dyDescent="0.25">
      <c r="A827" s="696">
        <v>56232</v>
      </c>
      <c r="B827" s="696">
        <v>1540</v>
      </c>
      <c r="C827" s="696">
        <v>100</v>
      </c>
      <c r="D827" s="696">
        <v>2500</v>
      </c>
      <c r="F827" s="700" t="s">
        <v>1289</v>
      </c>
      <c r="G827" s="701">
        <v>59.41</v>
      </c>
      <c r="H827" s="12" t="s">
        <v>997</v>
      </c>
      <c r="I827" s="12" t="s">
        <v>893</v>
      </c>
      <c r="J827" s="12" t="s">
        <v>926</v>
      </c>
      <c r="K827" s="12" t="s">
        <v>895</v>
      </c>
      <c r="L827" s="12"/>
      <c r="M827" s="11"/>
      <c r="N827" s="11"/>
      <c r="O827" s="11"/>
      <c r="P827" s="11"/>
    </row>
    <row r="828" spans="1:16" x14ac:dyDescent="0.25">
      <c r="A828" s="696">
        <v>56232</v>
      </c>
      <c r="B828" s="696">
        <v>1756</v>
      </c>
      <c r="C828" s="696">
        <v>615</v>
      </c>
      <c r="D828" s="696">
        <v>1000</v>
      </c>
      <c r="F828" s="700" t="s">
        <v>1289</v>
      </c>
      <c r="G828" s="701">
        <v>6</v>
      </c>
      <c r="H828" s="12" t="s">
        <v>997</v>
      </c>
      <c r="I828" s="12" t="s">
        <v>937</v>
      </c>
      <c r="J828" s="12" t="s">
        <v>894</v>
      </c>
      <c r="K828" s="12" t="s">
        <v>895</v>
      </c>
      <c r="L828" s="12"/>
      <c r="M828" s="11"/>
      <c r="N828" s="11"/>
      <c r="O828" s="11"/>
      <c r="P828" s="11"/>
    </row>
    <row r="829" spans="1:16" x14ac:dyDescent="0.25">
      <c r="A829" s="696">
        <v>56232</v>
      </c>
      <c r="B829" s="696">
        <v>1766</v>
      </c>
      <c r="C829" s="696">
        <v>615</v>
      </c>
      <c r="D829" s="696">
        <v>1000</v>
      </c>
      <c r="F829" s="700" t="s">
        <v>1289</v>
      </c>
      <c r="G829" s="701">
        <v>3</v>
      </c>
      <c r="H829" s="12" t="s">
        <v>997</v>
      </c>
      <c r="I829" s="12" t="s">
        <v>937</v>
      </c>
      <c r="J829" s="12" t="s">
        <v>894</v>
      </c>
      <c r="K829" s="12" t="s">
        <v>895</v>
      </c>
      <c r="L829" s="12"/>
      <c r="M829" s="11"/>
      <c r="N829" s="11"/>
      <c r="O829" s="11"/>
      <c r="P829" s="11"/>
    </row>
    <row r="830" spans="1:16" x14ac:dyDescent="0.25">
      <c r="A830" s="696">
        <v>56232</v>
      </c>
      <c r="B830" s="696">
        <v>1769</v>
      </c>
      <c r="C830" s="696">
        <v>615</v>
      </c>
      <c r="D830" s="696">
        <v>1000</v>
      </c>
      <c r="F830" s="700" t="s">
        <v>1289</v>
      </c>
      <c r="G830" s="701">
        <v>1.5</v>
      </c>
      <c r="H830" s="12" t="s">
        <v>997</v>
      </c>
      <c r="I830" s="12" t="s">
        <v>937</v>
      </c>
      <c r="J830" s="12" t="s">
        <v>894</v>
      </c>
      <c r="K830" s="12" t="s">
        <v>895</v>
      </c>
      <c r="L830" s="12"/>
      <c r="M830" s="11"/>
      <c r="N830" s="11"/>
      <c r="O830" s="11"/>
      <c r="P830" s="11"/>
    </row>
    <row r="831" spans="1:16" x14ac:dyDescent="0.25">
      <c r="A831" s="696">
        <v>56232</v>
      </c>
      <c r="B831" s="696">
        <v>1772</v>
      </c>
      <c r="C831" s="696">
        <v>615</v>
      </c>
      <c r="D831" s="696">
        <v>1000</v>
      </c>
      <c r="F831" s="700" t="s">
        <v>1289</v>
      </c>
      <c r="G831" s="701">
        <v>4.5</v>
      </c>
      <c r="H831" s="12" t="s">
        <v>997</v>
      </c>
      <c r="I831" s="12" t="s">
        <v>937</v>
      </c>
      <c r="J831" s="12" t="s">
        <v>894</v>
      </c>
      <c r="K831" s="12" t="s">
        <v>895</v>
      </c>
      <c r="L831" s="12"/>
      <c r="M831" s="11"/>
      <c r="N831" s="11"/>
      <c r="O831" s="11"/>
      <c r="P831" s="11"/>
    </row>
    <row r="832" spans="1:16" x14ac:dyDescent="0.25">
      <c r="A832" s="696">
        <v>56232</v>
      </c>
      <c r="B832" s="696">
        <v>1774</v>
      </c>
      <c r="C832" s="696">
        <v>615</v>
      </c>
      <c r="D832" s="696">
        <v>1000</v>
      </c>
      <c r="F832" s="700" t="s">
        <v>1289</v>
      </c>
      <c r="G832" s="701">
        <v>6.02</v>
      </c>
      <c r="H832" s="12" t="s">
        <v>997</v>
      </c>
      <c r="I832" s="12" t="s">
        <v>937</v>
      </c>
      <c r="J832" s="12" t="s">
        <v>894</v>
      </c>
      <c r="K832" s="12" t="s">
        <v>895</v>
      </c>
      <c r="L832" s="12"/>
      <c r="M832" s="11"/>
      <c r="N832" s="11"/>
      <c r="O832" s="11"/>
      <c r="P832" s="11"/>
    </row>
    <row r="833" spans="1:16" x14ac:dyDescent="0.25">
      <c r="A833" s="696">
        <v>56232</v>
      </c>
      <c r="B833" s="696">
        <v>1782</v>
      </c>
      <c r="C833" s="696">
        <v>615</v>
      </c>
      <c r="D833" s="696">
        <v>1000</v>
      </c>
      <c r="F833" s="700" t="s">
        <v>1289</v>
      </c>
      <c r="G833" s="701">
        <v>3</v>
      </c>
      <c r="H833" s="12" t="s">
        <v>997</v>
      </c>
      <c r="I833" s="12" t="s">
        <v>937</v>
      </c>
      <c r="J833" s="12" t="s">
        <v>894</v>
      </c>
      <c r="K833" s="12" t="s">
        <v>895</v>
      </c>
      <c r="L833" s="12"/>
      <c r="M833" s="11"/>
      <c r="N833" s="11"/>
      <c r="O833" s="11"/>
      <c r="P833" s="11"/>
    </row>
    <row r="834" spans="1:16" x14ac:dyDescent="0.25">
      <c r="A834" s="696">
        <v>56232</v>
      </c>
      <c r="B834" s="696">
        <v>1784</v>
      </c>
      <c r="C834" s="696">
        <v>615</v>
      </c>
      <c r="D834" s="696">
        <v>1000</v>
      </c>
      <c r="F834" s="700" t="s">
        <v>1289</v>
      </c>
      <c r="G834" s="701">
        <v>1.5</v>
      </c>
      <c r="H834" s="12" t="s">
        <v>997</v>
      </c>
      <c r="I834" s="12" t="s">
        <v>937</v>
      </c>
      <c r="J834" s="12" t="s">
        <v>894</v>
      </c>
      <c r="K834" s="12" t="s">
        <v>895</v>
      </c>
      <c r="L834" s="12"/>
      <c r="M834" s="11"/>
      <c r="N834" s="11"/>
      <c r="O834" s="11"/>
      <c r="P834" s="11"/>
    </row>
    <row r="835" spans="1:16" x14ac:dyDescent="0.25">
      <c r="A835" s="696">
        <v>56232</v>
      </c>
      <c r="B835" s="696">
        <v>1785</v>
      </c>
      <c r="C835" s="696">
        <v>615</v>
      </c>
      <c r="D835" s="696">
        <v>1000</v>
      </c>
      <c r="F835" s="700" t="s">
        <v>1289</v>
      </c>
      <c r="G835" s="701">
        <v>3</v>
      </c>
      <c r="H835" s="12" t="s">
        <v>997</v>
      </c>
      <c r="I835" s="12" t="s">
        <v>937</v>
      </c>
      <c r="J835" s="12" t="s">
        <v>894</v>
      </c>
      <c r="K835" s="12" t="s">
        <v>895</v>
      </c>
      <c r="L835" s="12"/>
      <c r="M835" s="11"/>
      <c r="N835" s="11"/>
      <c r="O835" s="11"/>
      <c r="P835" s="11"/>
    </row>
    <row r="836" spans="1:16" x14ac:dyDescent="0.25">
      <c r="A836" s="696">
        <v>56232</v>
      </c>
      <c r="B836" s="696">
        <v>1788</v>
      </c>
      <c r="C836" s="696">
        <v>615</v>
      </c>
      <c r="D836" s="696">
        <v>1000</v>
      </c>
      <c r="F836" s="700" t="s">
        <v>1289</v>
      </c>
      <c r="G836" s="701">
        <v>1.5</v>
      </c>
      <c r="H836" s="12" t="s">
        <v>997</v>
      </c>
      <c r="I836" s="12" t="s">
        <v>937</v>
      </c>
      <c r="J836" s="12" t="s">
        <v>894</v>
      </c>
      <c r="K836" s="12" t="s">
        <v>895</v>
      </c>
      <c r="L836" s="12"/>
      <c r="M836" s="11"/>
      <c r="N836" s="11"/>
      <c r="O836" s="11"/>
      <c r="P836" s="11"/>
    </row>
    <row r="837" spans="1:16" x14ac:dyDescent="0.25">
      <c r="A837" s="696">
        <v>56232</v>
      </c>
      <c r="B837" s="696">
        <v>1795</v>
      </c>
      <c r="C837" s="696">
        <v>615</v>
      </c>
      <c r="D837" s="696">
        <v>1000</v>
      </c>
      <c r="F837" s="700" t="s">
        <v>1289</v>
      </c>
      <c r="G837" s="701">
        <v>1.5</v>
      </c>
      <c r="H837" s="12" t="s">
        <v>997</v>
      </c>
      <c r="I837" s="12" t="s">
        <v>937</v>
      </c>
      <c r="J837" s="12" t="s">
        <v>894</v>
      </c>
      <c r="K837" s="12" t="s">
        <v>895</v>
      </c>
      <c r="L837" s="12"/>
      <c r="M837" s="11"/>
      <c r="N837" s="11"/>
      <c r="O837" s="11"/>
      <c r="P837" s="11"/>
    </row>
    <row r="838" spans="1:16" x14ac:dyDescent="0.25">
      <c r="A838" s="696">
        <v>56232</v>
      </c>
      <c r="B838" s="696">
        <v>1801</v>
      </c>
      <c r="C838" s="696">
        <v>615</v>
      </c>
      <c r="D838" s="696">
        <v>1000</v>
      </c>
      <c r="F838" s="700" t="s">
        <v>1289</v>
      </c>
      <c r="G838" s="701">
        <v>1.5</v>
      </c>
      <c r="H838" s="12" t="s">
        <v>997</v>
      </c>
      <c r="I838" s="12" t="s">
        <v>937</v>
      </c>
      <c r="J838" s="12" t="s">
        <v>894</v>
      </c>
      <c r="K838" s="12" t="s">
        <v>895</v>
      </c>
      <c r="L838" s="12"/>
      <c r="M838" s="11"/>
      <c r="N838" s="11"/>
      <c r="O838" s="11"/>
      <c r="P838" s="11"/>
    </row>
    <row r="839" spans="1:16" x14ac:dyDescent="0.25">
      <c r="A839" s="696">
        <v>56232</v>
      </c>
      <c r="B839" s="696">
        <v>1802</v>
      </c>
      <c r="C839" s="696">
        <v>615</v>
      </c>
      <c r="D839" s="696">
        <v>1000</v>
      </c>
      <c r="F839" s="700" t="s">
        <v>1289</v>
      </c>
      <c r="G839" s="701">
        <v>1.5</v>
      </c>
      <c r="H839" s="12" t="s">
        <v>997</v>
      </c>
      <c r="I839" s="12" t="s">
        <v>937</v>
      </c>
      <c r="J839" s="12" t="s">
        <v>894</v>
      </c>
      <c r="K839" s="12" t="s">
        <v>895</v>
      </c>
      <c r="L839" s="12"/>
      <c r="M839" s="11"/>
      <c r="N839" s="11"/>
      <c r="O839" s="11"/>
      <c r="P839" s="11"/>
    </row>
    <row r="840" spans="1:16" x14ac:dyDescent="0.25">
      <c r="A840" s="696">
        <v>56232</v>
      </c>
      <c r="B840" s="696">
        <v>1805</v>
      </c>
      <c r="C840" s="696">
        <v>615</v>
      </c>
      <c r="D840" s="696">
        <v>1000</v>
      </c>
      <c r="F840" s="700" t="s">
        <v>1289</v>
      </c>
      <c r="G840" s="701">
        <v>0.75</v>
      </c>
      <c r="H840" s="12" t="s">
        <v>997</v>
      </c>
      <c r="I840" s="12" t="s">
        <v>937</v>
      </c>
      <c r="J840" s="12" t="s">
        <v>894</v>
      </c>
      <c r="K840" s="12" t="s">
        <v>895</v>
      </c>
      <c r="L840" s="12"/>
      <c r="M840" s="11"/>
      <c r="N840" s="11"/>
      <c r="O840" s="11"/>
      <c r="P840" s="11"/>
    </row>
    <row r="841" spans="1:16" x14ac:dyDescent="0.25">
      <c r="A841" s="696">
        <v>56232</v>
      </c>
      <c r="B841" s="696">
        <v>1808</v>
      </c>
      <c r="C841" s="696">
        <v>615</v>
      </c>
      <c r="D841" s="696">
        <v>1000</v>
      </c>
      <c r="F841" s="700" t="s">
        <v>1289</v>
      </c>
      <c r="G841" s="701">
        <v>3.76</v>
      </c>
      <c r="H841" s="12" t="s">
        <v>997</v>
      </c>
      <c r="I841" s="12" t="s">
        <v>937</v>
      </c>
      <c r="J841" s="12" t="s">
        <v>894</v>
      </c>
      <c r="K841" s="12" t="s">
        <v>895</v>
      </c>
      <c r="L841" s="12"/>
      <c r="M841" s="11"/>
      <c r="N841" s="11"/>
      <c r="O841" s="11"/>
      <c r="P841" s="11"/>
    </row>
    <row r="842" spans="1:16" x14ac:dyDescent="0.25">
      <c r="A842" s="696">
        <v>56232</v>
      </c>
      <c r="B842" s="696">
        <v>1810</v>
      </c>
      <c r="C842" s="696">
        <v>615</v>
      </c>
      <c r="D842" s="696">
        <v>1000</v>
      </c>
      <c r="F842" s="700" t="s">
        <v>1289</v>
      </c>
      <c r="G842" s="701">
        <v>6</v>
      </c>
      <c r="H842" s="12" t="s">
        <v>997</v>
      </c>
      <c r="I842" s="12" t="s">
        <v>937</v>
      </c>
      <c r="J842" s="12" t="s">
        <v>894</v>
      </c>
      <c r="K842" s="12" t="s">
        <v>895</v>
      </c>
      <c r="L842" s="12"/>
      <c r="M842" s="11"/>
      <c r="N842" s="11"/>
      <c r="O842" s="11"/>
      <c r="P842" s="11"/>
    </row>
    <row r="843" spans="1:16" x14ac:dyDescent="0.25">
      <c r="A843" s="696">
        <v>56232</v>
      </c>
      <c r="B843" s="696">
        <v>1812</v>
      </c>
      <c r="C843" s="696">
        <v>615</v>
      </c>
      <c r="D843" s="696">
        <v>1000</v>
      </c>
      <c r="F843" s="700" t="s">
        <v>1289</v>
      </c>
      <c r="G843" s="701">
        <v>7.51</v>
      </c>
      <c r="H843" s="12" t="s">
        <v>997</v>
      </c>
      <c r="I843" s="12" t="s">
        <v>937</v>
      </c>
      <c r="J843" s="12" t="s">
        <v>894</v>
      </c>
      <c r="K843" s="12" t="s">
        <v>895</v>
      </c>
      <c r="L843" s="12"/>
      <c r="M843" s="11"/>
      <c r="N843" s="11"/>
      <c r="O843" s="11"/>
      <c r="P843" s="11"/>
    </row>
    <row r="844" spans="1:16" x14ac:dyDescent="0.25">
      <c r="A844" s="696">
        <v>56232</v>
      </c>
      <c r="B844" s="696">
        <v>1817</v>
      </c>
      <c r="C844" s="696">
        <v>615</v>
      </c>
      <c r="D844" s="696">
        <v>1000</v>
      </c>
      <c r="F844" s="700" t="s">
        <v>1289</v>
      </c>
      <c r="G844" s="701">
        <v>1.5</v>
      </c>
      <c r="H844" s="12" t="s">
        <v>997</v>
      </c>
      <c r="I844" s="12" t="s">
        <v>937</v>
      </c>
      <c r="J844" s="12" t="s">
        <v>894</v>
      </c>
      <c r="K844" s="12" t="s">
        <v>895</v>
      </c>
      <c r="L844" s="12"/>
      <c r="M844" s="11"/>
      <c r="N844" s="11"/>
      <c r="O844" s="11"/>
      <c r="P844" s="11"/>
    </row>
    <row r="845" spans="1:16" x14ac:dyDescent="0.25">
      <c r="A845" s="696">
        <v>56232</v>
      </c>
      <c r="B845" s="696">
        <v>1818</v>
      </c>
      <c r="C845" s="696">
        <v>615</v>
      </c>
      <c r="D845" s="696">
        <v>1000</v>
      </c>
      <c r="F845" s="700" t="s">
        <v>1289</v>
      </c>
      <c r="G845" s="701">
        <v>1.5</v>
      </c>
      <c r="H845" s="12" t="s">
        <v>997</v>
      </c>
      <c r="I845" s="12" t="s">
        <v>937</v>
      </c>
      <c r="J845" s="12" t="s">
        <v>894</v>
      </c>
      <c r="K845" s="12" t="s">
        <v>895</v>
      </c>
      <c r="L845" s="12"/>
      <c r="M845" s="11"/>
      <c r="N845" s="11"/>
      <c r="O845" s="11"/>
      <c r="P845" s="11"/>
    </row>
    <row r="846" spans="1:16" x14ac:dyDescent="0.25">
      <c r="A846" s="696">
        <v>56232</v>
      </c>
      <c r="B846" s="696">
        <v>1823</v>
      </c>
      <c r="C846" s="696">
        <v>615</v>
      </c>
      <c r="D846" s="696">
        <v>1000</v>
      </c>
      <c r="F846" s="700" t="s">
        <v>1289</v>
      </c>
      <c r="G846" s="701">
        <v>1.5</v>
      </c>
      <c r="H846" s="12" t="s">
        <v>997</v>
      </c>
      <c r="I846" s="12" t="s">
        <v>937</v>
      </c>
      <c r="J846" s="12" t="s">
        <v>894</v>
      </c>
      <c r="K846" s="12" t="s">
        <v>895</v>
      </c>
      <c r="L846" s="12"/>
      <c r="M846" s="11"/>
      <c r="N846" s="11"/>
      <c r="O846" s="11"/>
      <c r="P846" s="11"/>
    </row>
    <row r="847" spans="1:16" x14ac:dyDescent="0.25">
      <c r="A847" s="696">
        <v>56232</v>
      </c>
      <c r="B847" s="696">
        <v>1833</v>
      </c>
      <c r="C847" s="696">
        <v>615</v>
      </c>
      <c r="D847" s="696">
        <v>1000</v>
      </c>
      <c r="F847" s="700" t="s">
        <v>1289</v>
      </c>
      <c r="G847" s="701">
        <v>6.02</v>
      </c>
      <c r="H847" s="12" t="s">
        <v>997</v>
      </c>
      <c r="I847" s="12" t="s">
        <v>937</v>
      </c>
      <c r="J847" s="12" t="s">
        <v>894</v>
      </c>
      <c r="K847" s="12" t="s">
        <v>895</v>
      </c>
      <c r="L847" s="12"/>
      <c r="M847" s="11"/>
      <c r="N847" s="11"/>
      <c r="O847" s="11"/>
      <c r="P847" s="11"/>
    </row>
    <row r="848" spans="1:16" x14ac:dyDescent="0.25">
      <c r="A848" s="696">
        <v>56232</v>
      </c>
      <c r="B848" s="696">
        <v>1834</v>
      </c>
      <c r="C848" s="696">
        <v>615</v>
      </c>
      <c r="D848" s="696">
        <v>1000</v>
      </c>
      <c r="F848" s="700" t="s">
        <v>1289</v>
      </c>
      <c r="G848" s="701">
        <v>1.5</v>
      </c>
      <c r="H848" s="12" t="s">
        <v>997</v>
      </c>
      <c r="I848" s="12" t="s">
        <v>937</v>
      </c>
      <c r="J848" s="12" t="s">
        <v>894</v>
      </c>
      <c r="K848" s="12" t="s">
        <v>895</v>
      </c>
      <c r="L848" s="12"/>
      <c r="M848" s="11"/>
      <c r="N848" s="11"/>
      <c r="O848" s="11"/>
      <c r="P848" s="11"/>
    </row>
    <row r="849" spans="1:16" x14ac:dyDescent="0.25">
      <c r="A849" s="696">
        <v>56232</v>
      </c>
      <c r="B849" s="696">
        <v>1835</v>
      </c>
      <c r="C849" s="696">
        <v>615</v>
      </c>
      <c r="D849" s="696">
        <v>1000</v>
      </c>
      <c r="F849" s="700" t="s">
        <v>1289</v>
      </c>
      <c r="G849" s="701">
        <v>1.5</v>
      </c>
      <c r="H849" s="12" t="s">
        <v>997</v>
      </c>
      <c r="I849" s="12" t="s">
        <v>937</v>
      </c>
      <c r="J849" s="12" t="s">
        <v>894</v>
      </c>
      <c r="K849" s="12" t="s">
        <v>895</v>
      </c>
      <c r="L849" s="12"/>
      <c r="M849" s="11"/>
      <c r="N849" s="11"/>
      <c r="O849" s="11"/>
      <c r="P849" s="11"/>
    </row>
    <row r="850" spans="1:16" x14ac:dyDescent="0.25">
      <c r="A850" s="696">
        <v>56232</v>
      </c>
      <c r="B850" s="696">
        <v>1836</v>
      </c>
      <c r="C850" s="696">
        <v>615</v>
      </c>
      <c r="D850" s="696">
        <v>1000</v>
      </c>
      <c r="F850" s="700" t="s">
        <v>1289</v>
      </c>
      <c r="G850" s="701">
        <v>1.52</v>
      </c>
      <c r="H850" s="12" t="s">
        <v>997</v>
      </c>
      <c r="I850" s="12" t="s">
        <v>937</v>
      </c>
      <c r="J850" s="12" t="s">
        <v>894</v>
      </c>
      <c r="K850" s="12" t="s">
        <v>895</v>
      </c>
      <c r="L850" s="12"/>
      <c r="M850" s="11"/>
      <c r="N850" s="11"/>
      <c r="O850" s="11"/>
      <c r="P850" s="11"/>
    </row>
    <row r="851" spans="1:16" x14ac:dyDescent="0.25">
      <c r="A851" s="696">
        <v>56232</v>
      </c>
      <c r="B851" s="696">
        <v>1844</v>
      </c>
      <c r="C851" s="696">
        <v>615</v>
      </c>
      <c r="D851" s="696">
        <v>1000</v>
      </c>
      <c r="F851" s="700" t="s">
        <v>1289</v>
      </c>
      <c r="G851" s="701">
        <v>1.5</v>
      </c>
      <c r="H851" s="12" t="s">
        <v>997</v>
      </c>
      <c r="I851" s="12" t="s">
        <v>937</v>
      </c>
      <c r="J851" s="12" t="s">
        <v>894</v>
      </c>
      <c r="K851" s="12" t="s">
        <v>895</v>
      </c>
      <c r="L851" s="12"/>
      <c r="M851" s="11"/>
      <c r="N851" s="11"/>
      <c r="O851" s="11"/>
      <c r="P851" s="11"/>
    </row>
    <row r="852" spans="1:16" x14ac:dyDescent="0.25">
      <c r="A852" s="696">
        <v>56232</v>
      </c>
      <c r="B852" s="696">
        <v>1853</v>
      </c>
      <c r="C852" s="696">
        <v>615</v>
      </c>
      <c r="D852" s="696">
        <v>1000</v>
      </c>
      <c r="F852" s="700" t="s">
        <v>1289</v>
      </c>
      <c r="G852" s="701">
        <v>3</v>
      </c>
      <c r="H852" s="12" t="s">
        <v>997</v>
      </c>
      <c r="I852" s="12" t="s">
        <v>937</v>
      </c>
      <c r="J852" s="12" t="s">
        <v>894</v>
      </c>
      <c r="K852" s="12" t="s">
        <v>895</v>
      </c>
      <c r="L852" s="12"/>
      <c r="M852" s="11"/>
      <c r="N852" s="11"/>
      <c r="O852" s="11"/>
      <c r="P852" s="11"/>
    </row>
    <row r="853" spans="1:16" x14ac:dyDescent="0.25">
      <c r="A853" s="696">
        <v>56232</v>
      </c>
      <c r="B853" s="696">
        <v>1859</v>
      </c>
      <c r="C853" s="696">
        <v>615</v>
      </c>
      <c r="D853" s="696">
        <v>1000</v>
      </c>
      <c r="F853" s="700" t="s">
        <v>1289</v>
      </c>
      <c r="G853" s="701">
        <v>1.5</v>
      </c>
      <c r="H853" s="12" t="s">
        <v>997</v>
      </c>
      <c r="I853" s="12" t="s">
        <v>937</v>
      </c>
      <c r="J853" s="12" t="s">
        <v>894</v>
      </c>
      <c r="K853" s="12" t="s">
        <v>895</v>
      </c>
      <c r="L853" s="12"/>
      <c r="M853" s="11"/>
      <c r="N853" s="11"/>
      <c r="O853" s="11"/>
      <c r="P853" s="11"/>
    </row>
    <row r="854" spans="1:16" x14ac:dyDescent="0.25">
      <c r="A854" s="696">
        <v>56232</v>
      </c>
      <c r="B854" s="696">
        <v>1866</v>
      </c>
      <c r="C854" s="696">
        <v>615</v>
      </c>
      <c r="D854" s="696">
        <v>1000</v>
      </c>
      <c r="F854" s="700" t="s">
        <v>1289</v>
      </c>
      <c r="G854" s="701">
        <v>0.75</v>
      </c>
      <c r="H854" s="12" t="s">
        <v>997</v>
      </c>
      <c r="I854" s="12" t="s">
        <v>937</v>
      </c>
      <c r="J854" s="12" t="s">
        <v>894</v>
      </c>
      <c r="K854" s="12" t="s">
        <v>895</v>
      </c>
      <c r="L854" s="12"/>
      <c r="M854" s="11"/>
      <c r="N854" s="11"/>
      <c r="O854" s="11"/>
      <c r="P854" s="11"/>
    </row>
    <row r="855" spans="1:16" x14ac:dyDescent="0.25">
      <c r="A855" s="696">
        <v>56232</v>
      </c>
      <c r="B855" s="696">
        <v>1867</v>
      </c>
      <c r="C855" s="696">
        <v>615</v>
      </c>
      <c r="D855" s="696">
        <v>1000</v>
      </c>
      <c r="F855" s="700" t="s">
        <v>1289</v>
      </c>
      <c r="G855" s="701">
        <v>1.88</v>
      </c>
      <c r="H855" s="12" t="s">
        <v>997</v>
      </c>
      <c r="I855" s="12" t="s">
        <v>937</v>
      </c>
      <c r="J855" s="12" t="s">
        <v>894</v>
      </c>
      <c r="K855" s="12" t="s">
        <v>895</v>
      </c>
      <c r="L855" s="12"/>
      <c r="M855" s="11"/>
      <c r="N855" s="11"/>
      <c r="O855" s="11"/>
      <c r="P855" s="11"/>
    </row>
    <row r="856" spans="1:16" x14ac:dyDescent="0.25">
      <c r="A856" s="696">
        <v>56232</v>
      </c>
      <c r="B856" s="696">
        <v>1910</v>
      </c>
      <c r="C856" s="696">
        <v>615</v>
      </c>
      <c r="D856" s="696">
        <v>1000</v>
      </c>
      <c r="F856" s="700" t="s">
        <v>1289</v>
      </c>
      <c r="G856" s="701">
        <v>1.5</v>
      </c>
      <c r="H856" s="12" t="s">
        <v>997</v>
      </c>
      <c r="I856" s="12" t="s">
        <v>937</v>
      </c>
      <c r="J856" s="12" t="s">
        <v>894</v>
      </c>
      <c r="K856" s="12" t="s">
        <v>895</v>
      </c>
      <c r="L856" s="12"/>
      <c r="M856" s="11"/>
      <c r="N856" s="11"/>
      <c r="O856" s="11"/>
      <c r="P856" s="11"/>
    </row>
    <row r="857" spans="1:16" x14ac:dyDescent="0.25">
      <c r="A857" s="696">
        <v>56250</v>
      </c>
      <c r="B857" s="696">
        <v>1000</v>
      </c>
      <c r="C857" s="696">
        <v>100</v>
      </c>
      <c r="D857" s="696">
        <v>1000</v>
      </c>
      <c r="F857" s="700" t="s">
        <v>1290</v>
      </c>
      <c r="G857" s="701">
        <v>10763.07</v>
      </c>
      <c r="H857" s="12" t="s">
        <v>889</v>
      </c>
      <c r="I857" s="12" t="s">
        <v>893</v>
      </c>
      <c r="J857" s="12" t="s">
        <v>894</v>
      </c>
      <c r="K857" s="12" t="s">
        <v>895</v>
      </c>
      <c r="L857" s="12"/>
      <c r="M857" s="11"/>
      <c r="N857" s="11"/>
      <c r="O857" s="11"/>
      <c r="P857" s="11"/>
    </row>
    <row r="858" spans="1:16" x14ac:dyDescent="0.25">
      <c r="A858" s="696">
        <v>56250</v>
      </c>
      <c r="B858" s="696">
        <v>1000</v>
      </c>
      <c r="C858" s="696">
        <v>100</v>
      </c>
      <c r="D858" s="696">
        <v>2100</v>
      </c>
      <c r="F858" s="700" t="s">
        <v>1290</v>
      </c>
      <c r="G858" s="701">
        <v>2144.23</v>
      </c>
      <c r="H858" s="12" t="s">
        <v>889</v>
      </c>
      <c r="I858" s="12" t="s">
        <v>893</v>
      </c>
      <c r="J858" s="12" t="s">
        <v>902</v>
      </c>
      <c r="K858" s="12" t="s">
        <v>895</v>
      </c>
      <c r="L858" s="12"/>
      <c r="M858" s="11"/>
      <c r="N858" s="11"/>
      <c r="O858" s="11"/>
      <c r="P858" s="11"/>
    </row>
    <row r="859" spans="1:16" x14ac:dyDescent="0.25">
      <c r="A859" s="696">
        <v>56250</v>
      </c>
      <c r="B859" s="696">
        <v>1000</v>
      </c>
      <c r="C859" s="696">
        <v>100</v>
      </c>
      <c r="D859" s="696">
        <v>2200</v>
      </c>
      <c r="F859" s="700" t="s">
        <v>1290</v>
      </c>
      <c r="G859" s="701">
        <v>1184.6099999999999</v>
      </c>
      <c r="H859" s="12" t="s">
        <v>889</v>
      </c>
      <c r="I859" s="12" t="s">
        <v>893</v>
      </c>
      <c r="J859" s="12" t="s">
        <v>906</v>
      </c>
      <c r="K859" s="12" t="s">
        <v>895</v>
      </c>
      <c r="L859" s="12"/>
      <c r="M859" s="11"/>
      <c r="N859" s="11"/>
      <c r="O859" s="11"/>
      <c r="P859" s="11"/>
    </row>
    <row r="860" spans="1:16" x14ac:dyDescent="0.25">
      <c r="A860" s="696">
        <v>56250</v>
      </c>
      <c r="B860" s="696">
        <v>1000</v>
      </c>
      <c r="C860" s="696">
        <v>100</v>
      </c>
      <c r="D860" s="696">
        <v>2300</v>
      </c>
      <c r="F860" s="700" t="s">
        <v>1290</v>
      </c>
      <c r="G860" s="701">
        <v>-4.01</v>
      </c>
      <c r="H860" s="12" t="s">
        <v>889</v>
      </c>
      <c r="I860" s="12" t="s">
        <v>893</v>
      </c>
      <c r="J860" s="12" t="s">
        <v>918</v>
      </c>
      <c r="K860" s="12" t="s">
        <v>895</v>
      </c>
      <c r="L860" s="12"/>
      <c r="M860" s="11"/>
      <c r="N860" s="11"/>
      <c r="O860" s="11"/>
      <c r="P860" s="11"/>
    </row>
    <row r="861" spans="1:16" x14ac:dyDescent="0.25">
      <c r="A861" s="696">
        <v>56250</v>
      </c>
      <c r="B861" s="696">
        <v>1000</v>
      </c>
      <c r="C861" s="696">
        <v>100</v>
      </c>
      <c r="D861" s="696">
        <v>2400</v>
      </c>
      <c r="F861" s="700" t="s">
        <v>1290</v>
      </c>
      <c r="G861" s="701">
        <v>752.6</v>
      </c>
      <c r="H861" s="12" t="s">
        <v>889</v>
      </c>
      <c r="I861" s="12" t="s">
        <v>893</v>
      </c>
      <c r="J861" s="12" t="s">
        <v>922</v>
      </c>
      <c r="K861" s="12" t="s">
        <v>895</v>
      </c>
      <c r="L861" s="12"/>
      <c r="M861" s="11"/>
      <c r="N861" s="11"/>
      <c r="O861" s="11"/>
      <c r="P861" s="11"/>
    </row>
    <row r="862" spans="1:16" x14ac:dyDescent="0.25">
      <c r="A862" s="696">
        <v>56250</v>
      </c>
      <c r="B862" s="696">
        <v>1000</v>
      </c>
      <c r="C862" s="696">
        <v>100</v>
      </c>
      <c r="D862" s="696">
        <v>2500</v>
      </c>
      <c r="F862" s="700" t="s">
        <v>1290</v>
      </c>
      <c r="G862" s="701">
        <v>21663.97</v>
      </c>
      <c r="H862" s="12" t="s">
        <v>889</v>
      </c>
      <c r="I862" s="12" t="s">
        <v>893</v>
      </c>
      <c r="J862" s="12" t="s">
        <v>926</v>
      </c>
      <c r="K862" s="12" t="s">
        <v>895</v>
      </c>
      <c r="L862" s="12"/>
      <c r="M862" s="11"/>
      <c r="N862" s="11"/>
      <c r="O862" s="11"/>
      <c r="P862" s="11"/>
    </row>
    <row r="863" spans="1:16" x14ac:dyDescent="0.25">
      <c r="A863" s="696">
        <v>56250</v>
      </c>
      <c r="B863" s="696">
        <v>1000</v>
      </c>
      <c r="C863" s="696">
        <v>200</v>
      </c>
      <c r="D863" s="696">
        <v>1000</v>
      </c>
      <c r="F863" s="700" t="s">
        <v>1290</v>
      </c>
      <c r="G863" s="701">
        <v>0</v>
      </c>
      <c r="H863" s="12" t="s">
        <v>889</v>
      </c>
      <c r="I863" s="12" t="s">
        <v>897</v>
      </c>
      <c r="J863" s="12" t="s">
        <v>894</v>
      </c>
      <c r="K863" s="12" t="s">
        <v>895</v>
      </c>
      <c r="L863" s="12"/>
      <c r="M863" s="11"/>
      <c r="N863" s="11"/>
      <c r="O863" s="11"/>
      <c r="P863" s="11"/>
    </row>
    <row r="864" spans="1:16" x14ac:dyDescent="0.25">
      <c r="A864" s="696">
        <v>56250</v>
      </c>
      <c r="B864" s="696">
        <v>1000</v>
      </c>
      <c r="C864" s="696">
        <v>200</v>
      </c>
      <c r="D864" s="696">
        <v>2100</v>
      </c>
      <c r="F864" s="700" t="s">
        <v>1290</v>
      </c>
      <c r="G864" s="701">
        <v>316.67</v>
      </c>
      <c r="H864" s="12" t="s">
        <v>889</v>
      </c>
      <c r="I864" s="12" t="s">
        <v>897</v>
      </c>
      <c r="J864" s="12" t="s">
        <v>902</v>
      </c>
      <c r="K864" s="12" t="s">
        <v>895</v>
      </c>
      <c r="L864" s="12"/>
      <c r="M864" s="11"/>
      <c r="N864" s="11"/>
      <c r="O864" s="11"/>
      <c r="P864" s="11"/>
    </row>
    <row r="865" spans="1:16" x14ac:dyDescent="0.25">
      <c r="A865" s="696">
        <v>56250</v>
      </c>
      <c r="B865" s="696">
        <v>1220</v>
      </c>
      <c r="C865" s="696">
        <v>200</v>
      </c>
      <c r="D865" s="696">
        <v>2100</v>
      </c>
      <c r="F865" s="700" t="s">
        <v>1290</v>
      </c>
      <c r="G865" s="701">
        <v>874.2</v>
      </c>
      <c r="H865" s="12" t="s">
        <v>932</v>
      </c>
      <c r="I865" s="12" t="s">
        <v>897</v>
      </c>
      <c r="J865" s="12" t="s">
        <v>902</v>
      </c>
      <c r="K865" s="12" t="s">
        <v>895</v>
      </c>
      <c r="L865" s="12"/>
      <c r="M865" s="11"/>
      <c r="N865" s="11"/>
      <c r="O865" s="11"/>
      <c r="P865" s="11"/>
    </row>
    <row r="866" spans="1:16" x14ac:dyDescent="0.25">
      <c r="A866" s="696">
        <v>56213</v>
      </c>
      <c r="B866" s="696">
        <v>1322</v>
      </c>
      <c r="C866" s="696">
        <v>100</v>
      </c>
      <c r="D866" s="696">
        <v>2500</v>
      </c>
      <c r="F866" s="700" t="s">
        <v>1284</v>
      </c>
      <c r="G866" s="701">
        <v>17.02</v>
      </c>
      <c r="H866" s="12" t="s">
        <v>968</v>
      </c>
      <c r="I866" s="12" t="s">
        <v>893</v>
      </c>
      <c r="J866" s="12" t="s">
        <v>926</v>
      </c>
      <c r="K866" s="12" t="s">
        <v>895</v>
      </c>
      <c r="L866" s="12"/>
      <c r="M866" s="11"/>
      <c r="N866" s="11"/>
      <c r="O866" s="11"/>
      <c r="P866" s="11"/>
    </row>
    <row r="867" spans="1:16" x14ac:dyDescent="0.25">
      <c r="A867" s="696">
        <v>56214</v>
      </c>
      <c r="B867" s="696">
        <v>1322</v>
      </c>
      <c r="C867" s="696">
        <v>100</v>
      </c>
      <c r="D867" s="696">
        <v>2500</v>
      </c>
      <c r="F867" s="700" t="s">
        <v>1285</v>
      </c>
      <c r="G867" s="701">
        <v>117.11</v>
      </c>
      <c r="H867" s="12" t="s">
        <v>968</v>
      </c>
      <c r="I867" s="12" t="s">
        <v>893</v>
      </c>
      <c r="J867" s="12" t="s">
        <v>926</v>
      </c>
      <c r="K867" s="12" t="s">
        <v>895</v>
      </c>
      <c r="L867" s="12"/>
      <c r="M867" s="11"/>
      <c r="N867" s="11"/>
      <c r="O867" s="11"/>
      <c r="P867" s="11"/>
    </row>
    <row r="868" spans="1:16" x14ac:dyDescent="0.25">
      <c r="A868" s="696">
        <v>56250</v>
      </c>
      <c r="B868" s="696">
        <v>1531</v>
      </c>
      <c r="C868" s="696">
        <v>100</v>
      </c>
      <c r="D868" s="696">
        <v>2200</v>
      </c>
      <c r="F868" s="700" t="s">
        <v>1290</v>
      </c>
      <c r="G868" s="701">
        <v>427</v>
      </c>
      <c r="H868" s="12" t="s">
        <v>997</v>
      </c>
      <c r="I868" s="12" t="s">
        <v>893</v>
      </c>
      <c r="J868" s="12" t="s">
        <v>906</v>
      </c>
      <c r="K868" s="12" t="s">
        <v>895</v>
      </c>
      <c r="L868" s="12"/>
      <c r="M868" s="11"/>
      <c r="N868" s="11"/>
      <c r="O868" s="11"/>
      <c r="P868" s="11"/>
    </row>
    <row r="869" spans="1:16" x14ac:dyDescent="0.25">
      <c r="A869" s="696">
        <v>56250</v>
      </c>
      <c r="B869" s="696">
        <v>1769</v>
      </c>
      <c r="C869" s="696">
        <v>615</v>
      </c>
      <c r="D869" s="696">
        <v>1000</v>
      </c>
      <c r="F869" s="700" t="s">
        <v>1290</v>
      </c>
      <c r="G869" s="701">
        <v>4.3899999999999997</v>
      </c>
      <c r="H869" s="12" t="s">
        <v>997</v>
      </c>
      <c r="I869" s="12" t="s">
        <v>937</v>
      </c>
      <c r="J869" s="12" t="s">
        <v>894</v>
      </c>
      <c r="K869" s="12" t="s">
        <v>895</v>
      </c>
      <c r="L869" s="12"/>
      <c r="M869" s="11"/>
      <c r="N869" s="11"/>
      <c r="O869" s="11"/>
      <c r="P869" s="11"/>
    </row>
    <row r="870" spans="1:16" x14ac:dyDescent="0.25">
      <c r="A870" s="696">
        <v>56250</v>
      </c>
      <c r="B870" s="696">
        <v>1772</v>
      </c>
      <c r="C870" s="696">
        <v>615</v>
      </c>
      <c r="D870" s="696">
        <v>1000</v>
      </c>
      <c r="F870" s="700" t="s">
        <v>1290</v>
      </c>
      <c r="G870" s="701">
        <v>9.67</v>
      </c>
      <c r="H870" s="12" t="s">
        <v>997</v>
      </c>
      <c r="I870" s="12" t="s">
        <v>937</v>
      </c>
      <c r="J870" s="12" t="s">
        <v>894</v>
      </c>
      <c r="K870" s="12" t="s">
        <v>895</v>
      </c>
      <c r="L870" s="12"/>
      <c r="M870" s="11"/>
      <c r="N870" s="11"/>
      <c r="O870" s="11"/>
      <c r="P870" s="11"/>
    </row>
    <row r="871" spans="1:16" x14ac:dyDescent="0.25">
      <c r="A871" s="696">
        <v>56250</v>
      </c>
      <c r="B871" s="696">
        <v>1774</v>
      </c>
      <c r="C871" s="696">
        <v>615</v>
      </c>
      <c r="D871" s="696">
        <v>1000</v>
      </c>
      <c r="F871" s="700" t="s">
        <v>1290</v>
      </c>
      <c r="G871" s="701">
        <v>4.9800000000000004</v>
      </c>
      <c r="H871" s="12" t="s">
        <v>997</v>
      </c>
      <c r="I871" s="12" t="s">
        <v>937</v>
      </c>
      <c r="J871" s="12" t="s">
        <v>894</v>
      </c>
      <c r="K871" s="12" t="s">
        <v>895</v>
      </c>
      <c r="L871" s="12"/>
      <c r="M871" s="11"/>
      <c r="N871" s="11"/>
      <c r="O871" s="11"/>
      <c r="P871" s="11"/>
    </row>
    <row r="872" spans="1:16" x14ac:dyDescent="0.25">
      <c r="A872" s="696">
        <v>56250</v>
      </c>
      <c r="B872" s="696">
        <v>1784</v>
      </c>
      <c r="C872" s="696">
        <v>615</v>
      </c>
      <c r="D872" s="696">
        <v>1000</v>
      </c>
      <c r="F872" s="700" t="s">
        <v>1290</v>
      </c>
      <c r="G872" s="701">
        <v>4.99</v>
      </c>
      <c r="H872" s="12" t="s">
        <v>997</v>
      </c>
      <c r="I872" s="12" t="s">
        <v>937</v>
      </c>
      <c r="J872" s="12" t="s">
        <v>894</v>
      </c>
      <c r="K872" s="12" t="s">
        <v>895</v>
      </c>
      <c r="L872" s="12"/>
      <c r="M872" s="11"/>
      <c r="N872" s="11"/>
      <c r="O872" s="11"/>
      <c r="P872" s="11"/>
    </row>
    <row r="873" spans="1:16" x14ac:dyDescent="0.25">
      <c r="A873" s="696">
        <v>56250</v>
      </c>
      <c r="B873" s="696">
        <v>1805</v>
      </c>
      <c r="C873" s="696">
        <v>615</v>
      </c>
      <c r="D873" s="696">
        <v>1000</v>
      </c>
      <c r="F873" s="700" t="s">
        <v>1290</v>
      </c>
      <c r="G873" s="701">
        <v>6.05</v>
      </c>
      <c r="H873" s="12" t="s">
        <v>997</v>
      </c>
      <c r="I873" s="12" t="s">
        <v>937</v>
      </c>
      <c r="J873" s="12" t="s">
        <v>894</v>
      </c>
      <c r="K873" s="12" t="s">
        <v>895</v>
      </c>
      <c r="L873" s="12"/>
      <c r="M873" s="11"/>
      <c r="N873" s="11"/>
      <c r="O873" s="11"/>
      <c r="P873" s="11"/>
    </row>
    <row r="874" spans="1:16" x14ac:dyDescent="0.25">
      <c r="A874" s="696">
        <v>56250</v>
      </c>
      <c r="B874" s="696">
        <v>1833</v>
      </c>
      <c r="C874" s="696">
        <v>615</v>
      </c>
      <c r="D874" s="696">
        <v>1000</v>
      </c>
      <c r="F874" s="700" t="s">
        <v>1290</v>
      </c>
      <c r="G874" s="701">
        <v>15.38</v>
      </c>
      <c r="H874" s="12" t="s">
        <v>997</v>
      </c>
      <c r="I874" s="12" t="s">
        <v>937</v>
      </c>
      <c r="J874" s="12" t="s">
        <v>894</v>
      </c>
      <c r="K874" s="12" t="s">
        <v>895</v>
      </c>
      <c r="L874" s="12"/>
      <c r="M874" s="11"/>
      <c r="N874" s="11"/>
      <c r="O874" s="11"/>
      <c r="P874" s="11"/>
    </row>
    <row r="875" spans="1:16" x14ac:dyDescent="0.25">
      <c r="A875" s="696">
        <v>56250</v>
      </c>
      <c r="B875" s="696">
        <v>1844</v>
      </c>
      <c r="C875" s="696">
        <v>615</v>
      </c>
      <c r="D875" s="696">
        <v>1000</v>
      </c>
      <c r="F875" s="700" t="s">
        <v>1290</v>
      </c>
      <c r="G875" s="701">
        <v>5.04</v>
      </c>
      <c r="H875" s="12" t="s">
        <v>997</v>
      </c>
      <c r="I875" s="12" t="s">
        <v>937</v>
      </c>
      <c r="J875" s="12" t="s">
        <v>894</v>
      </c>
      <c r="K875" s="12" t="s">
        <v>895</v>
      </c>
      <c r="L875" s="12"/>
      <c r="M875" s="11"/>
      <c r="N875" s="11"/>
      <c r="O875" s="11"/>
      <c r="P875" s="11"/>
    </row>
    <row r="876" spans="1:16" x14ac:dyDescent="0.25">
      <c r="A876" s="696">
        <v>56260</v>
      </c>
      <c r="B876" s="696">
        <v>1000</v>
      </c>
      <c r="C876" s="696">
        <v>100</v>
      </c>
      <c r="D876" s="696">
        <v>1000</v>
      </c>
      <c r="F876" s="700" t="s">
        <v>1291</v>
      </c>
      <c r="G876" s="701">
        <v>4.5999999999999996</v>
      </c>
      <c r="H876" s="12" t="s">
        <v>889</v>
      </c>
      <c r="I876" s="12" t="s">
        <v>893</v>
      </c>
      <c r="J876" s="12" t="s">
        <v>894</v>
      </c>
      <c r="K876" s="12" t="s">
        <v>895</v>
      </c>
      <c r="L876" s="12"/>
      <c r="M876" s="11"/>
      <c r="N876" s="11"/>
      <c r="O876" s="11"/>
      <c r="P876" s="11"/>
    </row>
    <row r="877" spans="1:16" x14ac:dyDescent="0.25">
      <c r="A877" s="696">
        <v>56260</v>
      </c>
      <c r="B877" s="696">
        <v>1000</v>
      </c>
      <c r="C877" s="696">
        <v>100</v>
      </c>
      <c r="D877" s="696">
        <v>2300</v>
      </c>
      <c r="F877" s="700" t="s">
        <v>1291</v>
      </c>
      <c r="G877" s="701">
        <v>316.7</v>
      </c>
      <c r="H877" s="12" t="s">
        <v>889</v>
      </c>
      <c r="I877" s="12" t="s">
        <v>893</v>
      </c>
      <c r="J877" s="12" t="s">
        <v>918</v>
      </c>
      <c r="K877" s="12" t="s">
        <v>895</v>
      </c>
      <c r="L877" s="12"/>
      <c r="M877" s="11"/>
      <c r="N877" s="11"/>
      <c r="O877" s="11"/>
      <c r="P877" s="11"/>
    </row>
    <row r="878" spans="1:16" x14ac:dyDescent="0.25">
      <c r="A878" s="696">
        <v>56260</v>
      </c>
      <c r="B878" s="696">
        <v>1000</v>
      </c>
      <c r="C878" s="696">
        <v>100</v>
      </c>
      <c r="D878" s="696">
        <v>2500</v>
      </c>
      <c r="F878" s="700" t="s">
        <v>1291</v>
      </c>
      <c r="G878" s="701">
        <v>89652</v>
      </c>
      <c r="H878" s="12" t="s">
        <v>889</v>
      </c>
      <c r="I878" s="12" t="s">
        <v>893</v>
      </c>
      <c r="J878" s="12" t="s">
        <v>926</v>
      </c>
      <c r="K878" s="12" t="s">
        <v>895</v>
      </c>
      <c r="L878" s="12"/>
      <c r="M878" s="11"/>
      <c r="N878" s="11"/>
      <c r="O878" s="11"/>
      <c r="P878" s="11"/>
    </row>
    <row r="879" spans="1:16" x14ac:dyDescent="0.25">
      <c r="A879" s="696">
        <v>56282</v>
      </c>
      <c r="B879" s="696">
        <v>1000</v>
      </c>
      <c r="C879" s="696">
        <v>100</v>
      </c>
      <c r="D879" s="696">
        <v>1000</v>
      </c>
      <c r="F879" s="700" t="s">
        <v>1292</v>
      </c>
      <c r="G879" s="701">
        <v>717.86</v>
      </c>
      <c r="H879" s="12" t="s">
        <v>889</v>
      </c>
      <c r="I879" s="12" t="s">
        <v>893</v>
      </c>
      <c r="J879" s="12" t="s">
        <v>894</v>
      </c>
      <c r="K879" s="12" t="s">
        <v>895</v>
      </c>
      <c r="L879" s="12"/>
      <c r="M879" s="11"/>
      <c r="N879" s="11"/>
      <c r="O879" s="11"/>
      <c r="P879" s="11"/>
    </row>
    <row r="880" spans="1:16" x14ac:dyDescent="0.25">
      <c r="A880" s="696">
        <v>56282</v>
      </c>
      <c r="B880" s="696">
        <v>1000</v>
      </c>
      <c r="C880" s="696">
        <v>100</v>
      </c>
      <c r="D880" s="696">
        <v>2100</v>
      </c>
      <c r="F880" s="700" t="s">
        <v>1292</v>
      </c>
      <c r="G880" s="701">
        <v>19362.099999999999</v>
      </c>
      <c r="H880" s="12" t="s">
        <v>889</v>
      </c>
      <c r="I880" s="12" t="s">
        <v>893</v>
      </c>
      <c r="J880" s="12" t="s">
        <v>902</v>
      </c>
      <c r="K880" s="12" t="s">
        <v>895</v>
      </c>
      <c r="L880" s="12"/>
      <c r="M880" s="11"/>
      <c r="N880" s="11"/>
      <c r="O880" s="11"/>
      <c r="P880" s="11"/>
    </row>
    <row r="881" spans="1:16" x14ac:dyDescent="0.25">
      <c r="A881" s="696">
        <v>56282</v>
      </c>
      <c r="B881" s="696">
        <v>1000</v>
      </c>
      <c r="C881" s="696">
        <v>100</v>
      </c>
      <c r="D881" s="696">
        <v>2200</v>
      </c>
      <c r="F881" s="700" t="s">
        <v>1292</v>
      </c>
      <c r="G881" s="701">
        <v>7278.2</v>
      </c>
      <c r="H881" s="12" t="s">
        <v>889</v>
      </c>
      <c r="I881" s="12" t="s">
        <v>893</v>
      </c>
      <c r="J881" s="12" t="s">
        <v>906</v>
      </c>
      <c r="K881" s="12" t="s">
        <v>895</v>
      </c>
      <c r="L881" s="12"/>
      <c r="M881" s="11"/>
      <c r="N881" s="11"/>
      <c r="O881" s="11"/>
      <c r="P881" s="11"/>
    </row>
    <row r="882" spans="1:16" x14ac:dyDescent="0.25">
      <c r="A882" s="696">
        <v>56282</v>
      </c>
      <c r="B882" s="696">
        <v>1000</v>
      </c>
      <c r="C882" s="696">
        <v>100</v>
      </c>
      <c r="D882" s="696">
        <v>2400</v>
      </c>
      <c r="F882" s="700" t="s">
        <v>1292</v>
      </c>
      <c r="G882" s="701">
        <v>7583.84</v>
      </c>
      <c r="H882" s="12" t="s">
        <v>889</v>
      </c>
      <c r="I882" s="12" t="s">
        <v>893</v>
      </c>
      <c r="J882" s="12" t="s">
        <v>922</v>
      </c>
      <c r="K882" s="12" t="s">
        <v>895</v>
      </c>
      <c r="L882" s="12"/>
      <c r="M882" s="11"/>
      <c r="N882" s="11"/>
      <c r="O882" s="11"/>
      <c r="P882" s="11"/>
    </row>
    <row r="883" spans="1:16" x14ac:dyDescent="0.25">
      <c r="A883" s="696">
        <v>56282</v>
      </c>
      <c r="B883" s="696">
        <v>1000</v>
      </c>
      <c r="C883" s="696">
        <v>100</v>
      </c>
      <c r="D883" s="696">
        <v>2500</v>
      </c>
      <c r="F883" s="700" t="s">
        <v>1292</v>
      </c>
      <c r="G883" s="701">
        <v>30960.55</v>
      </c>
      <c r="H883" s="12" t="s">
        <v>889</v>
      </c>
      <c r="I883" s="12" t="s">
        <v>893</v>
      </c>
      <c r="J883" s="12" t="s">
        <v>926</v>
      </c>
      <c r="K883" s="12" t="s">
        <v>895</v>
      </c>
      <c r="L883" s="12"/>
      <c r="M883" s="11"/>
      <c r="N883" s="11"/>
      <c r="O883" s="11"/>
      <c r="P883" s="11"/>
    </row>
    <row r="884" spans="1:16" x14ac:dyDescent="0.25">
      <c r="A884" s="696">
        <v>56282</v>
      </c>
      <c r="B884" s="696">
        <v>1000</v>
      </c>
      <c r="C884" s="696">
        <v>100</v>
      </c>
      <c r="D884" s="696">
        <v>2510</v>
      </c>
      <c r="F884" s="700" t="s">
        <v>1292</v>
      </c>
      <c r="G884" s="701">
        <v>3718.42</v>
      </c>
      <c r="H884" s="12" t="s">
        <v>889</v>
      </c>
      <c r="I884" s="12" t="s">
        <v>893</v>
      </c>
      <c r="J884" s="12" t="s">
        <v>926</v>
      </c>
      <c r="K884" s="12" t="s">
        <v>895</v>
      </c>
      <c r="L884" s="12"/>
      <c r="M884" s="11"/>
      <c r="N884" s="11"/>
      <c r="O884" s="11"/>
      <c r="P884" s="11"/>
    </row>
    <row r="885" spans="1:16" x14ac:dyDescent="0.25">
      <c r="A885" s="696">
        <v>56221</v>
      </c>
      <c r="B885" s="696">
        <v>1322</v>
      </c>
      <c r="C885" s="696">
        <v>100</v>
      </c>
      <c r="D885" s="696">
        <v>2500</v>
      </c>
      <c r="F885" s="700" t="s">
        <v>1286</v>
      </c>
      <c r="G885" s="701">
        <v>11263.45</v>
      </c>
      <c r="H885" s="12" t="s">
        <v>968</v>
      </c>
      <c r="I885" s="12" t="s">
        <v>893</v>
      </c>
      <c r="J885" s="12" t="s">
        <v>926</v>
      </c>
      <c r="K885" s="12" t="s">
        <v>895</v>
      </c>
      <c r="L885" s="12"/>
      <c r="M885" s="11"/>
      <c r="N885" s="11"/>
      <c r="O885" s="11"/>
      <c r="P885" s="11"/>
    </row>
    <row r="886" spans="1:16" x14ac:dyDescent="0.25">
      <c r="A886" s="696">
        <v>56222</v>
      </c>
      <c r="B886" s="696">
        <v>1322</v>
      </c>
      <c r="C886" s="696">
        <v>100</v>
      </c>
      <c r="D886" s="696">
        <v>2500</v>
      </c>
      <c r="F886" s="700" t="s">
        <v>1287</v>
      </c>
      <c r="G886" s="701">
        <v>2634.35</v>
      </c>
      <c r="H886" s="12" t="s">
        <v>968</v>
      </c>
      <c r="I886" s="12" t="s">
        <v>893</v>
      </c>
      <c r="J886" s="12" t="s">
        <v>926</v>
      </c>
      <c r="K886" s="12" t="s">
        <v>895</v>
      </c>
      <c r="L886" s="12"/>
      <c r="M886" s="11"/>
      <c r="N886" s="11"/>
      <c r="O886" s="11"/>
      <c r="P886" s="11"/>
    </row>
    <row r="887" spans="1:16" x14ac:dyDescent="0.25">
      <c r="A887" s="696">
        <v>56282</v>
      </c>
      <c r="B887" s="696">
        <v>1531</v>
      </c>
      <c r="C887" s="696">
        <v>100</v>
      </c>
      <c r="D887" s="696">
        <v>2200</v>
      </c>
      <c r="F887" s="700" t="s">
        <v>1292</v>
      </c>
      <c r="G887" s="701">
        <v>424.8</v>
      </c>
      <c r="H887" s="12" t="s">
        <v>997</v>
      </c>
      <c r="I887" s="12" t="s">
        <v>893</v>
      </c>
      <c r="J887" s="12" t="s">
        <v>906</v>
      </c>
      <c r="K887" s="12" t="s">
        <v>895</v>
      </c>
      <c r="L887" s="12"/>
      <c r="M887" s="11"/>
      <c r="N887" s="11"/>
      <c r="O887" s="11"/>
      <c r="P887" s="11"/>
    </row>
    <row r="888" spans="1:16" x14ac:dyDescent="0.25">
      <c r="A888" s="696">
        <v>56283</v>
      </c>
      <c r="B888" s="696">
        <v>1000</v>
      </c>
      <c r="C888" s="696">
        <v>100</v>
      </c>
      <c r="D888" s="696">
        <v>2500</v>
      </c>
      <c r="F888" s="700" t="s">
        <v>1293</v>
      </c>
      <c r="G888" s="701">
        <v>27736.55</v>
      </c>
      <c r="H888" s="12" t="s">
        <v>889</v>
      </c>
      <c r="I888" s="12" t="s">
        <v>893</v>
      </c>
      <c r="J888" s="12" t="s">
        <v>926</v>
      </c>
      <c r="K888" s="12" t="s">
        <v>895</v>
      </c>
      <c r="L888" s="12"/>
      <c r="M888" s="11"/>
      <c r="N888" s="11"/>
      <c r="O888" s="11"/>
      <c r="P888" s="11"/>
    </row>
    <row r="889" spans="1:16" x14ac:dyDescent="0.25">
      <c r="A889" s="696">
        <v>56290</v>
      </c>
      <c r="B889" s="696">
        <v>1000</v>
      </c>
      <c r="C889" s="696">
        <v>100</v>
      </c>
      <c r="D889" s="696">
        <v>1000</v>
      </c>
      <c r="F889" s="700" t="s">
        <v>1294</v>
      </c>
      <c r="G889" s="701">
        <v>2001.77</v>
      </c>
      <c r="H889" s="12" t="s">
        <v>889</v>
      </c>
      <c r="I889" s="12" t="s">
        <v>893</v>
      </c>
      <c r="J889" s="12" t="s">
        <v>894</v>
      </c>
      <c r="K889" s="12" t="s">
        <v>895</v>
      </c>
      <c r="L889" s="12"/>
      <c r="M889" s="11"/>
      <c r="N889" s="11"/>
      <c r="O889" s="11"/>
      <c r="P889" s="11"/>
    </row>
    <row r="890" spans="1:16" x14ac:dyDescent="0.25">
      <c r="A890" s="696">
        <v>56290</v>
      </c>
      <c r="B890" s="696">
        <v>1000</v>
      </c>
      <c r="C890" s="696">
        <v>100</v>
      </c>
      <c r="D890" s="696">
        <v>2100</v>
      </c>
      <c r="F890" s="700" t="s">
        <v>1294</v>
      </c>
      <c r="G890" s="701">
        <v>621.80999999999995</v>
      </c>
      <c r="H890" s="12" t="s">
        <v>889</v>
      </c>
      <c r="I890" s="12" t="s">
        <v>893</v>
      </c>
      <c r="J890" s="12" t="s">
        <v>902</v>
      </c>
      <c r="K890" s="12" t="s">
        <v>895</v>
      </c>
      <c r="L890" s="12"/>
      <c r="M890" s="11"/>
      <c r="N890" s="11"/>
      <c r="O890" s="11"/>
      <c r="P890" s="11"/>
    </row>
    <row r="891" spans="1:16" x14ac:dyDescent="0.25">
      <c r="A891" s="696">
        <v>56290</v>
      </c>
      <c r="B891" s="696">
        <v>1000</v>
      </c>
      <c r="C891" s="696">
        <v>100</v>
      </c>
      <c r="D891" s="696">
        <v>2400</v>
      </c>
      <c r="F891" s="700" t="s">
        <v>1294</v>
      </c>
      <c r="G891" s="701">
        <v>137.62</v>
      </c>
      <c r="H891" s="12" t="s">
        <v>889</v>
      </c>
      <c r="I891" s="12" t="s">
        <v>893</v>
      </c>
      <c r="J891" s="12" t="s">
        <v>922</v>
      </c>
      <c r="K891" s="12" t="s">
        <v>895</v>
      </c>
      <c r="L891" s="12"/>
      <c r="M891" s="11"/>
      <c r="N891" s="11"/>
      <c r="O891" s="11"/>
      <c r="P891" s="11"/>
    </row>
    <row r="892" spans="1:16" x14ac:dyDescent="0.25">
      <c r="A892" s="696">
        <v>56290</v>
      </c>
      <c r="B892" s="696">
        <v>1000</v>
      </c>
      <c r="C892" s="696">
        <v>100</v>
      </c>
      <c r="D892" s="696">
        <v>2500</v>
      </c>
      <c r="F892" s="700" t="s">
        <v>1294</v>
      </c>
      <c r="G892" s="701">
        <v>834.95</v>
      </c>
      <c r="H892" s="12" t="s">
        <v>889</v>
      </c>
      <c r="I892" s="12" t="s">
        <v>893</v>
      </c>
      <c r="J892" s="12" t="s">
        <v>926</v>
      </c>
      <c r="K892" s="12" t="s">
        <v>895</v>
      </c>
      <c r="L892" s="12"/>
      <c r="M892" s="11"/>
      <c r="N892" s="11"/>
      <c r="O892" s="11"/>
      <c r="P892" s="11"/>
    </row>
    <row r="893" spans="1:16" x14ac:dyDescent="0.25">
      <c r="A893" s="696">
        <v>56231</v>
      </c>
      <c r="B893" s="696">
        <v>1322</v>
      </c>
      <c r="C893" s="696">
        <v>100</v>
      </c>
      <c r="D893" s="696">
        <v>2500</v>
      </c>
      <c r="F893" s="700" t="s">
        <v>1288</v>
      </c>
      <c r="G893" s="701">
        <v>23106.79</v>
      </c>
      <c r="H893" s="12" t="s">
        <v>968</v>
      </c>
      <c r="I893" s="12" t="s">
        <v>893</v>
      </c>
      <c r="J893" s="12" t="s">
        <v>926</v>
      </c>
      <c r="K893" s="12" t="s">
        <v>895</v>
      </c>
      <c r="L893" s="12"/>
      <c r="M893" s="11"/>
      <c r="N893" s="11"/>
      <c r="O893" s="11"/>
      <c r="P893" s="11"/>
    </row>
    <row r="894" spans="1:16" x14ac:dyDescent="0.25">
      <c r="A894" s="696">
        <v>56232</v>
      </c>
      <c r="B894" s="696">
        <v>1322</v>
      </c>
      <c r="C894" s="696">
        <v>100</v>
      </c>
      <c r="D894" s="696">
        <v>2500</v>
      </c>
      <c r="F894" s="700" t="s">
        <v>1289</v>
      </c>
      <c r="G894" s="701">
        <v>296.08999999999997</v>
      </c>
      <c r="H894" s="12" t="s">
        <v>968</v>
      </c>
      <c r="I894" s="12" t="s">
        <v>893</v>
      </c>
      <c r="J894" s="12" t="s">
        <v>926</v>
      </c>
      <c r="K894" s="12" t="s">
        <v>895</v>
      </c>
      <c r="L894" s="12"/>
      <c r="M894" s="11"/>
      <c r="N894" s="11"/>
      <c r="O894" s="11"/>
      <c r="P894" s="11"/>
    </row>
    <row r="895" spans="1:16" x14ac:dyDescent="0.25">
      <c r="A895" s="696">
        <v>56282</v>
      </c>
      <c r="B895" s="696">
        <v>1322</v>
      </c>
      <c r="C895" s="696">
        <v>100</v>
      </c>
      <c r="D895" s="696">
        <v>2500</v>
      </c>
      <c r="F895" s="700" t="s">
        <v>1292</v>
      </c>
      <c r="G895" s="701">
        <v>1096.6600000000001</v>
      </c>
      <c r="H895" s="12" t="s">
        <v>968</v>
      </c>
      <c r="I895" s="12" t="s">
        <v>893</v>
      </c>
      <c r="J895" s="12" t="s">
        <v>926</v>
      </c>
      <c r="K895" s="12" t="s">
        <v>895</v>
      </c>
      <c r="L895" s="12"/>
      <c r="M895" s="11"/>
      <c r="N895" s="11"/>
      <c r="O895" s="11"/>
      <c r="P895" s="11"/>
    </row>
    <row r="896" spans="1:16" x14ac:dyDescent="0.25">
      <c r="A896" s="696">
        <v>56290</v>
      </c>
      <c r="B896" s="696">
        <v>1322</v>
      </c>
      <c r="C896" s="696">
        <v>100</v>
      </c>
      <c r="D896" s="696">
        <v>2500</v>
      </c>
      <c r="F896" s="700" t="s">
        <v>1294</v>
      </c>
      <c r="G896" s="701">
        <v>27</v>
      </c>
      <c r="H896" s="12" t="s">
        <v>968</v>
      </c>
      <c r="I896" s="12" t="s">
        <v>893</v>
      </c>
      <c r="J896" s="12" t="s">
        <v>926</v>
      </c>
      <c r="K896" s="12" t="s">
        <v>895</v>
      </c>
      <c r="L896" s="12"/>
      <c r="M896" s="11"/>
      <c r="N896" s="11"/>
      <c r="O896" s="11"/>
      <c r="P896" s="11"/>
    </row>
    <row r="897" spans="1:16" x14ac:dyDescent="0.25">
      <c r="A897" s="696">
        <v>56290</v>
      </c>
      <c r="B897" s="696">
        <v>1774</v>
      </c>
      <c r="C897" s="696">
        <v>615</v>
      </c>
      <c r="D897" s="696">
        <v>1000</v>
      </c>
      <c r="F897" s="700" t="s">
        <v>1294</v>
      </c>
      <c r="G897" s="701">
        <v>4.5</v>
      </c>
      <c r="H897" s="12" t="s">
        <v>997</v>
      </c>
      <c r="I897" s="12" t="s">
        <v>937</v>
      </c>
      <c r="J897" s="12" t="s">
        <v>894</v>
      </c>
      <c r="K897" s="12" t="s">
        <v>895</v>
      </c>
      <c r="L897" s="12"/>
      <c r="M897" s="11"/>
      <c r="N897" s="11"/>
      <c r="O897" s="11"/>
      <c r="P897" s="11"/>
    </row>
    <row r="898" spans="1:16" x14ac:dyDescent="0.25">
      <c r="A898" s="696">
        <v>56290</v>
      </c>
      <c r="B898" s="696">
        <v>1798</v>
      </c>
      <c r="C898" s="696">
        <v>615</v>
      </c>
      <c r="D898" s="696">
        <v>1000</v>
      </c>
      <c r="F898" s="700" t="s">
        <v>1294</v>
      </c>
      <c r="G898" s="701">
        <v>4.01</v>
      </c>
      <c r="H898" s="12" t="s">
        <v>997</v>
      </c>
      <c r="I898" s="12" t="s">
        <v>937</v>
      </c>
      <c r="J898" s="12" t="s">
        <v>894</v>
      </c>
      <c r="K898" s="12" t="s">
        <v>895</v>
      </c>
      <c r="L898" s="12"/>
      <c r="M898" s="11"/>
      <c r="N898" s="11"/>
      <c r="O898" s="11"/>
      <c r="P898" s="11"/>
    </row>
    <row r="899" spans="1:16" x14ac:dyDescent="0.25">
      <c r="A899" s="696">
        <v>56290</v>
      </c>
      <c r="B899" s="696">
        <v>1801</v>
      </c>
      <c r="C899" s="696">
        <v>615</v>
      </c>
      <c r="D899" s="696">
        <v>1000</v>
      </c>
      <c r="F899" s="700" t="s">
        <v>1294</v>
      </c>
      <c r="G899" s="701">
        <v>4.01</v>
      </c>
      <c r="H899" s="12" t="s">
        <v>997</v>
      </c>
      <c r="I899" s="12" t="s">
        <v>937</v>
      </c>
      <c r="J899" s="12" t="s">
        <v>894</v>
      </c>
      <c r="K899" s="12" t="s">
        <v>895</v>
      </c>
      <c r="L899" s="12"/>
      <c r="M899" s="11"/>
      <c r="N899" s="11"/>
      <c r="O899" s="11"/>
      <c r="P899" s="11"/>
    </row>
    <row r="900" spans="1:16" x14ac:dyDescent="0.25">
      <c r="A900" s="696">
        <v>56290</v>
      </c>
      <c r="B900" s="696">
        <v>1836</v>
      </c>
      <c r="C900" s="696">
        <v>615</v>
      </c>
      <c r="D900" s="696">
        <v>1000</v>
      </c>
      <c r="F900" s="700" t="s">
        <v>1294</v>
      </c>
      <c r="G900" s="701">
        <v>2.2599999999999998</v>
      </c>
      <c r="H900" s="12" t="s">
        <v>997</v>
      </c>
      <c r="I900" s="12" t="s">
        <v>937</v>
      </c>
      <c r="J900" s="12" t="s">
        <v>894</v>
      </c>
      <c r="K900" s="12" t="s">
        <v>895</v>
      </c>
      <c r="L900" s="12"/>
      <c r="M900" s="11"/>
      <c r="N900" s="11"/>
      <c r="O900" s="11"/>
      <c r="P900" s="11"/>
    </row>
    <row r="901" spans="1:16" x14ac:dyDescent="0.25">
      <c r="A901" s="696">
        <v>56291</v>
      </c>
      <c r="B901" s="696">
        <v>1000</v>
      </c>
      <c r="C901" s="696">
        <v>100</v>
      </c>
      <c r="D901" s="696">
        <v>1000</v>
      </c>
      <c r="F901" s="700" t="s">
        <v>1295</v>
      </c>
      <c r="G901" s="701">
        <v>16</v>
      </c>
      <c r="H901" s="12" t="s">
        <v>889</v>
      </c>
      <c r="I901" s="12" t="s">
        <v>893</v>
      </c>
      <c r="J901" s="12" t="s">
        <v>894</v>
      </c>
      <c r="K901" s="12" t="s">
        <v>895</v>
      </c>
      <c r="L901" s="12"/>
      <c r="M901" s="11"/>
      <c r="N901" s="11"/>
      <c r="O901" s="11"/>
      <c r="P901" s="11"/>
    </row>
    <row r="902" spans="1:16" x14ac:dyDescent="0.25">
      <c r="A902" s="696">
        <v>56291</v>
      </c>
      <c r="B902" s="696">
        <v>1000</v>
      </c>
      <c r="C902" s="696">
        <v>100</v>
      </c>
      <c r="D902" s="696">
        <v>2200</v>
      </c>
      <c r="F902" s="700" t="s">
        <v>1295</v>
      </c>
      <c r="G902" s="701">
        <v>345.19</v>
      </c>
      <c r="H902" s="12" t="s">
        <v>889</v>
      </c>
      <c r="I902" s="12" t="s">
        <v>893</v>
      </c>
      <c r="J902" s="12" t="s">
        <v>906</v>
      </c>
      <c r="K902" s="12" t="s">
        <v>895</v>
      </c>
      <c r="L902" s="12"/>
      <c r="M902" s="11"/>
      <c r="N902" s="11"/>
      <c r="O902" s="11"/>
      <c r="P902" s="11"/>
    </row>
    <row r="903" spans="1:16" x14ac:dyDescent="0.25">
      <c r="A903" s="696">
        <v>56291</v>
      </c>
      <c r="B903" s="696">
        <v>1000</v>
      </c>
      <c r="C903" s="696">
        <v>100</v>
      </c>
      <c r="D903" s="696">
        <v>2300</v>
      </c>
      <c r="F903" s="700" t="s">
        <v>1295</v>
      </c>
      <c r="G903" s="701">
        <v>369.85</v>
      </c>
      <c r="H903" s="12" t="s">
        <v>889</v>
      </c>
      <c r="I903" s="12" t="s">
        <v>893</v>
      </c>
      <c r="J903" s="12" t="s">
        <v>918</v>
      </c>
      <c r="K903" s="12" t="s">
        <v>895</v>
      </c>
      <c r="L903" s="12"/>
      <c r="M903" s="11"/>
      <c r="N903" s="11"/>
      <c r="O903" s="11"/>
      <c r="P903" s="11"/>
    </row>
    <row r="904" spans="1:16" x14ac:dyDescent="0.25">
      <c r="A904" s="696">
        <v>56291</v>
      </c>
      <c r="B904" s="696">
        <v>1000</v>
      </c>
      <c r="C904" s="696">
        <v>100</v>
      </c>
      <c r="D904" s="696">
        <v>2500</v>
      </c>
      <c r="F904" s="700" t="s">
        <v>1295</v>
      </c>
      <c r="G904" s="701">
        <v>9309.9500000000007</v>
      </c>
      <c r="H904" s="12" t="s">
        <v>889</v>
      </c>
      <c r="I904" s="12" t="s">
        <v>893</v>
      </c>
      <c r="J904" s="12" t="s">
        <v>926</v>
      </c>
      <c r="K904" s="12" t="s">
        <v>895</v>
      </c>
      <c r="L904" s="12"/>
      <c r="M904" s="11"/>
      <c r="N904" s="11"/>
      <c r="O904" s="11"/>
      <c r="P904" s="11"/>
    </row>
    <row r="905" spans="1:16" x14ac:dyDescent="0.25">
      <c r="A905" s="696">
        <v>56291</v>
      </c>
      <c r="B905" s="696">
        <v>1000</v>
      </c>
      <c r="C905" s="696">
        <v>100</v>
      </c>
      <c r="D905" s="696">
        <v>2510</v>
      </c>
      <c r="F905" s="700" t="s">
        <v>1295</v>
      </c>
      <c r="G905" s="701">
        <v>9.89</v>
      </c>
      <c r="H905" s="12" t="s">
        <v>889</v>
      </c>
      <c r="I905" s="12" t="s">
        <v>893</v>
      </c>
      <c r="J905" s="12" t="s">
        <v>926</v>
      </c>
      <c r="K905" s="12" t="s">
        <v>895</v>
      </c>
      <c r="L905" s="12"/>
      <c r="M905" s="11"/>
      <c r="N905" s="11"/>
      <c r="O905" s="11"/>
      <c r="P905" s="11"/>
    </row>
    <row r="906" spans="1:16" x14ac:dyDescent="0.25">
      <c r="A906" s="696">
        <v>56291</v>
      </c>
      <c r="B906" s="696">
        <v>1000</v>
      </c>
      <c r="C906" s="696">
        <v>100</v>
      </c>
      <c r="D906" s="696">
        <v>2600</v>
      </c>
      <c r="F906" s="700" t="s">
        <v>1295</v>
      </c>
      <c r="G906" s="701">
        <v>670.35</v>
      </c>
      <c r="H906" s="12" t="s">
        <v>889</v>
      </c>
      <c r="I906" s="12" t="s">
        <v>893</v>
      </c>
      <c r="J906" s="12" t="s">
        <v>930</v>
      </c>
      <c r="K906" s="12" t="s">
        <v>895</v>
      </c>
      <c r="L906" s="12"/>
      <c r="M906" s="11"/>
      <c r="N906" s="11"/>
      <c r="O906" s="11"/>
      <c r="P906" s="11"/>
    </row>
    <row r="907" spans="1:16" x14ac:dyDescent="0.25">
      <c r="A907" s="696">
        <v>56291</v>
      </c>
      <c r="B907" s="696">
        <v>1532</v>
      </c>
      <c r="C907" s="696">
        <v>100</v>
      </c>
      <c r="D907" s="696">
        <v>1000</v>
      </c>
      <c r="F907" s="700" t="s">
        <v>1295</v>
      </c>
      <c r="G907" s="701">
        <v>4552</v>
      </c>
      <c r="H907" s="12" t="s">
        <v>997</v>
      </c>
      <c r="I907" s="12" t="s">
        <v>893</v>
      </c>
      <c r="J907" s="12" t="s">
        <v>894</v>
      </c>
      <c r="K907" s="12" t="s">
        <v>895</v>
      </c>
      <c r="L907" s="12"/>
      <c r="M907" s="11"/>
      <c r="N907" s="11"/>
      <c r="O907" s="11"/>
      <c r="P907" s="11"/>
    </row>
    <row r="908" spans="1:16" x14ac:dyDescent="0.25">
      <c r="A908" s="696">
        <v>56292</v>
      </c>
      <c r="B908" s="696">
        <v>1000</v>
      </c>
      <c r="C908" s="696">
        <v>100</v>
      </c>
      <c r="D908" s="696">
        <v>1000</v>
      </c>
      <c r="F908" s="700" t="s">
        <v>1296</v>
      </c>
      <c r="G908" s="701">
        <v>636.76</v>
      </c>
      <c r="H908" s="12" t="s">
        <v>889</v>
      </c>
      <c r="I908" s="12" t="s">
        <v>893</v>
      </c>
      <c r="J908" s="12" t="s">
        <v>894</v>
      </c>
      <c r="K908" s="12" t="s">
        <v>895</v>
      </c>
      <c r="L908" s="12"/>
      <c r="M908" s="11"/>
      <c r="N908" s="11"/>
      <c r="O908" s="11"/>
      <c r="P908" s="11"/>
    </row>
    <row r="909" spans="1:16" x14ac:dyDescent="0.25">
      <c r="A909" s="696">
        <v>56311</v>
      </c>
      <c r="B909" s="696">
        <v>1000</v>
      </c>
      <c r="C909" s="696">
        <v>100</v>
      </c>
      <c r="D909" s="696">
        <v>2500</v>
      </c>
      <c r="F909" s="700" t="s">
        <v>1297</v>
      </c>
      <c r="G909" s="701">
        <v>18424.7</v>
      </c>
      <c r="H909" s="12" t="s">
        <v>889</v>
      </c>
      <c r="I909" s="12" t="s">
        <v>893</v>
      </c>
      <c r="J909" s="12" t="s">
        <v>926</v>
      </c>
      <c r="K909" s="12" t="s">
        <v>899</v>
      </c>
      <c r="L909" s="12"/>
      <c r="M909" s="11"/>
      <c r="N909" s="11"/>
      <c r="O909" s="11"/>
      <c r="P909" s="11"/>
    </row>
    <row r="910" spans="1:16" x14ac:dyDescent="0.25">
      <c r="A910" s="696">
        <v>56312</v>
      </c>
      <c r="B910" s="696">
        <v>1000</v>
      </c>
      <c r="C910" s="696">
        <v>100</v>
      </c>
      <c r="D910" s="696">
        <v>2500</v>
      </c>
      <c r="F910" s="700" t="s">
        <v>1298</v>
      </c>
      <c r="G910" s="701">
        <v>8218.89</v>
      </c>
      <c r="H910" s="12" t="s">
        <v>889</v>
      </c>
      <c r="I910" s="12" t="s">
        <v>893</v>
      </c>
      <c r="J910" s="12" t="s">
        <v>926</v>
      </c>
      <c r="K910" s="12" t="s">
        <v>899</v>
      </c>
      <c r="L910" s="12"/>
      <c r="M910" s="11"/>
      <c r="N910" s="11"/>
      <c r="O910" s="11"/>
      <c r="P910" s="11"/>
    </row>
    <row r="911" spans="1:16" x14ac:dyDescent="0.25">
      <c r="A911" s="696">
        <v>56327</v>
      </c>
      <c r="B911" s="696">
        <v>1000</v>
      </c>
      <c r="C911" s="696">
        <v>200</v>
      </c>
      <c r="D911" s="696">
        <v>2100</v>
      </c>
      <c r="F911" s="700" t="s">
        <v>1299</v>
      </c>
      <c r="G911" s="701">
        <v>1440.48</v>
      </c>
      <c r="H911" s="12" t="s">
        <v>889</v>
      </c>
      <c r="I911" s="12" t="s">
        <v>897</v>
      </c>
      <c r="J911" s="12" t="s">
        <v>902</v>
      </c>
      <c r="K911" s="12" t="s">
        <v>899</v>
      </c>
      <c r="L911" s="12"/>
      <c r="M911" s="11"/>
      <c r="N911" s="11"/>
      <c r="O911" s="11"/>
      <c r="P911" s="11"/>
    </row>
    <row r="912" spans="1:16" x14ac:dyDescent="0.25">
      <c r="A912" s="696">
        <v>56328</v>
      </c>
      <c r="B912" s="696">
        <v>1000</v>
      </c>
      <c r="C912" s="696">
        <v>100</v>
      </c>
      <c r="D912" s="696">
        <v>1000</v>
      </c>
      <c r="F912" s="700" t="s">
        <v>1300</v>
      </c>
      <c r="G912" s="701">
        <v>599</v>
      </c>
      <c r="H912" s="12" t="s">
        <v>889</v>
      </c>
      <c r="I912" s="12" t="s">
        <v>893</v>
      </c>
      <c r="J912" s="12" t="s">
        <v>894</v>
      </c>
      <c r="K912" s="12" t="s">
        <v>899</v>
      </c>
      <c r="L912" s="12"/>
      <c r="M912" s="11"/>
      <c r="N912" s="11"/>
      <c r="O912" s="11"/>
      <c r="P912" s="11"/>
    </row>
    <row r="913" spans="1:16" x14ac:dyDescent="0.25">
      <c r="A913" s="696">
        <v>56328</v>
      </c>
      <c r="B913" s="696">
        <v>1000</v>
      </c>
      <c r="C913" s="696">
        <v>100</v>
      </c>
      <c r="D913" s="696">
        <v>2100</v>
      </c>
      <c r="F913" s="700" t="s">
        <v>1300</v>
      </c>
      <c r="G913" s="701">
        <v>22480.7</v>
      </c>
      <c r="H913" s="12" t="s">
        <v>889</v>
      </c>
      <c r="I913" s="12" t="s">
        <v>893</v>
      </c>
      <c r="J913" s="12" t="s">
        <v>902</v>
      </c>
      <c r="K913" s="12" t="s">
        <v>899</v>
      </c>
      <c r="L913" s="12"/>
      <c r="M913" s="11"/>
      <c r="N913" s="11"/>
      <c r="O913" s="11"/>
      <c r="P913" s="11"/>
    </row>
    <row r="914" spans="1:16" x14ac:dyDescent="0.25">
      <c r="A914" s="696">
        <v>56328</v>
      </c>
      <c r="B914" s="696">
        <v>1000</v>
      </c>
      <c r="C914" s="696">
        <v>100</v>
      </c>
      <c r="D914" s="696">
        <v>2200</v>
      </c>
      <c r="F914" s="700" t="s">
        <v>1300</v>
      </c>
      <c r="G914" s="701">
        <v>43216.87</v>
      </c>
      <c r="H914" s="12" t="s">
        <v>889</v>
      </c>
      <c r="I914" s="12" t="s">
        <v>893</v>
      </c>
      <c r="J914" s="12" t="s">
        <v>906</v>
      </c>
      <c r="K914" s="12" t="s">
        <v>899</v>
      </c>
      <c r="L914" s="12"/>
      <c r="M914" s="11"/>
      <c r="N914" s="11"/>
      <c r="O914" s="11"/>
      <c r="P914" s="11"/>
    </row>
    <row r="915" spans="1:16" x14ac:dyDescent="0.25">
      <c r="A915" s="696">
        <v>56328</v>
      </c>
      <c r="B915" s="696">
        <v>1000</v>
      </c>
      <c r="C915" s="696">
        <v>100</v>
      </c>
      <c r="D915" s="696">
        <v>2300</v>
      </c>
      <c r="F915" s="700" t="s">
        <v>1300</v>
      </c>
      <c r="G915" s="701">
        <v>3102.72</v>
      </c>
      <c r="H915" s="12" t="s">
        <v>889</v>
      </c>
      <c r="I915" s="12" t="s">
        <v>893</v>
      </c>
      <c r="J915" s="12" t="s">
        <v>918</v>
      </c>
      <c r="K915" s="12" t="s">
        <v>899</v>
      </c>
      <c r="L915" s="12"/>
      <c r="M915" s="11"/>
      <c r="N915" s="11"/>
      <c r="O915" s="11"/>
      <c r="P915" s="11"/>
    </row>
    <row r="916" spans="1:16" x14ac:dyDescent="0.25">
      <c r="A916" s="696">
        <v>56328</v>
      </c>
      <c r="B916" s="696">
        <v>1000</v>
      </c>
      <c r="C916" s="696">
        <v>100</v>
      </c>
      <c r="D916" s="696">
        <v>2400</v>
      </c>
      <c r="F916" s="700" t="s">
        <v>1300</v>
      </c>
      <c r="G916" s="701">
        <v>5439.35</v>
      </c>
      <c r="H916" s="12" t="s">
        <v>889</v>
      </c>
      <c r="I916" s="12" t="s">
        <v>893</v>
      </c>
      <c r="J916" s="12" t="s">
        <v>922</v>
      </c>
      <c r="K916" s="12" t="s">
        <v>899</v>
      </c>
      <c r="L916" s="12"/>
      <c r="M916" s="11"/>
      <c r="N916" s="11"/>
      <c r="O916" s="11"/>
      <c r="P916" s="11"/>
    </row>
    <row r="917" spans="1:16" x14ac:dyDescent="0.25">
      <c r="A917" s="696">
        <v>56328</v>
      </c>
      <c r="B917" s="696">
        <v>1000</v>
      </c>
      <c r="C917" s="696">
        <v>100</v>
      </c>
      <c r="D917" s="696">
        <v>2500</v>
      </c>
      <c r="F917" s="700" t="s">
        <v>1300</v>
      </c>
      <c r="G917" s="701">
        <v>32367.75</v>
      </c>
      <c r="H917" s="12" t="s">
        <v>889</v>
      </c>
      <c r="I917" s="12" t="s">
        <v>893</v>
      </c>
      <c r="J917" s="12" t="s">
        <v>926</v>
      </c>
      <c r="K917" s="12" t="s">
        <v>899</v>
      </c>
      <c r="L917" s="12"/>
      <c r="M917" s="11"/>
      <c r="N917" s="11"/>
      <c r="O917" s="11"/>
      <c r="P917" s="11"/>
    </row>
    <row r="918" spans="1:16" x14ac:dyDescent="0.25">
      <c r="A918" s="696">
        <v>56328</v>
      </c>
      <c r="B918" s="696">
        <v>1000</v>
      </c>
      <c r="C918" s="696">
        <v>100</v>
      </c>
      <c r="D918" s="696">
        <v>2510</v>
      </c>
      <c r="F918" s="700" t="s">
        <v>1300</v>
      </c>
      <c r="G918" s="701">
        <v>705.44</v>
      </c>
      <c r="H918" s="12" t="s">
        <v>889</v>
      </c>
      <c r="I918" s="12" t="s">
        <v>893</v>
      </c>
      <c r="J918" s="12" t="s">
        <v>926</v>
      </c>
      <c r="K918" s="12" t="s">
        <v>899</v>
      </c>
      <c r="L918" s="12"/>
      <c r="M918" s="11"/>
      <c r="N918" s="11"/>
      <c r="O918" s="11"/>
      <c r="P918" s="11"/>
    </row>
    <row r="919" spans="1:16" x14ac:dyDescent="0.25">
      <c r="A919" s="696">
        <v>56328</v>
      </c>
      <c r="B919" s="696">
        <v>1000</v>
      </c>
      <c r="C919" s="696">
        <v>200</v>
      </c>
      <c r="D919" s="696">
        <v>2100</v>
      </c>
      <c r="F919" s="700" t="s">
        <v>1300</v>
      </c>
      <c r="G919" s="701">
        <v>5354.89</v>
      </c>
      <c r="H919" s="12" t="s">
        <v>889</v>
      </c>
      <c r="I919" s="12" t="s">
        <v>897</v>
      </c>
      <c r="J919" s="12" t="s">
        <v>902</v>
      </c>
      <c r="K919" s="12" t="s">
        <v>899</v>
      </c>
      <c r="L919" s="12"/>
      <c r="M919" s="11"/>
      <c r="N919" s="11"/>
      <c r="O919" s="11"/>
      <c r="P919" s="11"/>
    </row>
    <row r="920" spans="1:16" x14ac:dyDescent="0.25">
      <c r="A920" s="696">
        <v>56328</v>
      </c>
      <c r="B920" s="696">
        <v>1000</v>
      </c>
      <c r="C920" s="696">
        <v>200</v>
      </c>
      <c r="D920" s="696">
        <v>2200</v>
      </c>
      <c r="F920" s="700" t="s">
        <v>1300</v>
      </c>
      <c r="G920" s="701">
        <v>11541.26</v>
      </c>
      <c r="H920" s="12" t="s">
        <v>889</v>
      </c>
      <c r="I920" s="12" t="s">
        <v>897</v>
      </c>
      <c r="J920" s="12" t="s">
        <v>906</v>
      </c>
      <c r="K920" s="12" t="s">
        <v>899</v>
      </c>
      <c r="L920" s="12"/>
      <c r="M920" s="11"/>
      <c r="N920" s="11"/>
      <c r="O920" s="11"/>
      <c r="P920" s="11"/>
    </row>
    <row r="921" spans="1:16" x14ac:dyDescent="0.25">
      <c r="A921" s="696">
        <v>56328</v>
      </c>
      <c r="B921" s="696">
        <v>1000</v>
      </c>
      <c r="C921" s="696">
        <v>240</v>
      </c>
      <c r="D921" s="696">
        <v>2100</v>
      </c>
      <c r="F921" s="700" t="s">
        <v>1300</v>
      </c>
      <c r="G921" s="701">
        <v>635.94000000000005</v>
      </c>
      <c r="H921" s="12" t="s">
        <v>889</v>
      </c>
      <c r="I921" s="12" t="s">
        <v>897</v>
      </c>
      <c r="J921" s="12" t="s">
        <v>902</v>
      </c>
      <c r="K921" s="12" t="s">
        <v>899</v>
      </c>
      <c r="L921" s="12"/>
      <c r="M921" s="11"/>
      <c r="N921" s="11"/>
      <c r="O921" s="11"/>
      <c r="P921" s="11"/>
    </row>
    <row r="922" spans="1:16" x14ac:dyDescent="0.25">
      <c r="A922" s="696">
        <v>56328</v>
      </c>
      <c r="B922" s="696">
        <v>1000</v>
      </c>
      <c r="C922" s="696">
        <v>240</v>
      </c>
      <c r="D922" s="696">
        <v>2200</v>
      </c>
      <c r="F922" s="700" t="s">
        <v>1300</v>
      </c>
      <c r="G922" s="701">
        <v>154.1</v>
      </c>
      <c r="H922" s="12" t="s">
        <v>889</v>
      </c>
      <c r="I922" s="12" t="s">
        <v>897</v>
      </c>
      <c r="J922" s="12" t="s">
        <v>906</v>
      </c>
      <c r="K922" s="12" t="s">
        <v>899</v>
      </c>
      <c r="L922" s="12"/>
      <c r="M922" s="11"/>
      <c r="N922" s="11"/>
      <c r="O922" s="11"/>
      <c r="P922" s="11"/>
    </row>
    <row r="923" spans="1:16" x14ac:dyDescent="0.25">
      <c r="A923" s="696">
        <v>56328</v>
      </c>
      <c r="B923" s="696">
        <v>1000</v>
      </c>
      <c r="C923" s="696">
        <v>260</v>
      </c>
      <c r="D923" s="696">
        <v>2100</v>
      </c>
      <c r="F923" s="700" t="s">
        <v>1300</v>
      </c>
      <c r="G923" s="701">
        <v>77.84</v>
      </c>
      <c r="H923" s="12" t="s">
        <v>896</v>
      </c>
      <c r="I923" s="12" t="s">
        <v>901</v>
      </c>
      <c r="J923" s="12" t="s">
        <v>902</v>
      </c>
      <c r="K923" s="12" t="s">
        <v>899</v>
      </c>
      <c r="L923" s="12"/>
      <c r="M923" s="11"/>
      <c r="N923" s="11"/>
      <c r="O923" s="11"/>
      <c r="P923" s="11"/>
    </row>
    <row r="924" spans="1:16" x14ac:dyDescent="0.25">
      <c r="A924" s="696">
        <v>56328</v>
      </c>
      <c r="B924" s="696">
        <v>1591</v>
      </c>
      <c r="C924" s="696">
        <v>100</v>
      </c>
      <c r="D924" s="696">
        <v>3100</v>
      </c>
      <c r="F924" s="700" t="s">
        <v>1300</v>
      </c>
      <c r="G924" s="701">
        <v>102.74</v>
      </c>
      <c r="H924" s="12" t="s">
        <v>997</v>
      </c>
      <c r="I924" s="12" t="s">
        <v>893</v>
      </c>
      <c r="J924" s="12" t="s">
        <v>942</v>
      </c>
      <c r="K924" s="12" t="s">
        <v>899</v>
      </c>
      <c r="L924" s="12"/>
      <c r="M924" s="11"/>
      <c r="N924" s="11"/>
      <c r="O924" s="11"/>
      <c r="P924" s="11"/>
    </row>
    <row r="925" spans="1:16" x14ac:dyDescent="0.25">
      <c r="A925" s="696">
        <v>56329</v>
      </c>
      <c r="B925" s="696">
        <v>1000</v>
      </c>
      <c r="C925" s="696">
        <v>100</v>
      </c>
      <c r="D925" s="696">
        <v>1000</v>
      </c>
      <c r="F925" s="700" t="s">
        <v>1301</v>
      </c>
      <c r="G925" s="701">
        <v>76815.679999999993</v>
      </c>
      <c r="H925" s="12" t="s">
        <v>889</v>
      </c>
      <c r="I925" s="12" t="s">
        <v>893</v>
      </c>
      <c r="J925" s="12" t="s">
        <v>894</v>
      </c>
      <c r="K925" s="12" t="s">
        <v>899</v>
      </c>
      <c r="L925" s="12"/>
      <c r="M925" s="11"/>
      <c r="N925" s="11"/>
      <c r="O925" s="11"/>
      <c r="P925" s="11"/>
    </row>
    <row r="926" spans="1:16" x14ac:dyDescent="0.25">
      <c r="A926" s="696">
        <v>56329</v>
      </c>
      <c r="B926" s="696">
        <v>1000</v>
      </c>
      <c r="C926" s="696">
        <v>100</v>
      </c>
      <c r="D926" s="696">
        <v>2100</v>
      </c>
      <c r="F926" s="700" t="s">
        <v>1301</v>
      </c>
      <c r="G926" s="701">
        <v>51166.58</v>
      </c>
      <c r="H926" s="12" t="s">
        <v>889</v>
      </c>
      <c r="I926" s="12" t="s">
        <v>893</v>
      </c>
      <c r="J926" s="12" t="s">
        <v>902</v>
      </c>
      <c r="K926" s="12" t="s">
        <v>899</v>
      </c>
      <c r="L926" s="12"/>
      <c r="M926" s="11"/>
      <c r="N926" s="11"/>
      <c r="O926" s="11"/>
      <c r="P926" s="11"/>
    </row>
    <row r="927" spans="1:16" x14ac:dyDescent="0.25">
      <c r="A927" s="696">
        <v>56329</v>
      </c>
      <c r="B927" s="696">
        <v>1000</v>
      </c>
      <c r="C927" s="696">
        <v>100</v>
      </c>
      <c r="D927" s="696">
        <v>2200</v>
      </c>
      <c r="F927" s="700" t="s">
        <v>1301</v>
      </c>
      <c r="G927" s="701">
        <v>4221.72</v>
      </c>
      <c r="H927" s="12" t="s">
        <v>889</v>
      </c>
      <c r="I927" s="12" t="s">
        <v>893</v>
      </c>
      <c r="J927" s="12" t="s">
        <v>906</v>
      </c>
      <c r="K927" s="12" t="s">
        <v>899</v>
      </c>
      <c r="L927" s="12"/>
      <c r="M927" s="11"/>
      <c r="N927" s="11"/>
      <c r="O927" s="11"/>
      <c r="P927" s="11"/>
    </row>
    <row r="928" spans="1:16" x14ac:dyDescent="0.25">
      <c r="A928" s="696">
        <v>56329</v>
      </c>
      <c r="B928" s="696">
        <v>1000</v>
      </c>
      <c r="C928" s="696">
        <v>100</v>
      </c>
      <c r="D928" s="696">
        <v>2300</v>
      </c>
      <c r="F928" s="700" t="s">
        <v>1301</v>
      </c>
      <c r="G928" s="701">
        <v>9.2100000000000009</v>
      </c>
      <c r="H928" s="12" t="s">
        <v>889</v>
      </c>
      <c r="I928" s="12" t="s">
        <v>893</v>
      </c>
      <c r="J928" s="12" t="s">
        <v>918</v>
      </c>
      <c r="K928" s="12" t="s">
        <v>899</v>
      </c>
      <c r="L928" s="12"/>
      <c r="M928" s="11"/>
      <c r="N928" s="11"/>
      <c r="O928" s="11"/>
      <c r="P928" s="11"/>
    </row>
    <row r="929" spans="1:16" x14ac:dyDescent="0.25">
      <c r="A929" s="696">
        <v>56329</v>
      </c>
      <c r="B929" s="696">
        <v>1000</v>
      </c>
      <c r="C929" s="696">
        <v>100</v>
      </c>
      <c r="D929" s="696">
        <v>2500</v>
      </c>
      <c r="F929" s="700" t="s">
        <v>1301</v>
      </c>
      <c r="G929" s="701">
        <v>1076877.17</v>
      </c>
      <c r="H929" s="12" t="s">
        <v>889</v>
      </c>
      <c r="I929" s="12" t="s">
        <v>893</v>
      </c>
      <c r="J929" s="12" t="s">
        <v>926</v>
      </c>
      <c r="K929" s="12" t="s">
        <v>899</v>
      </c>
      <c r="L929" s="12"/>
      <c r="M929" s="11"/>
      <c r="N929" s="11"/>
      <c r="O929" s="11"/>
      <c r="P929" s="11"/>
    </row>
    <row r="930" spans="1:16" x14ac:dyDescent="0.25">
      <c r="A930" s="696">
        <v>56329</v>
      </c>
      <c r="B930" s="696">
        <v>1000</v>
      </c>
      <c r="C930" s="696">
        <v>100</v>
      </c>
      <c r="D930" s="696">
        <v>2510</v>
      </c>
      <c r="F930" s="700" t="s">
        <v>1301</v>
      </c>
      <c r="G930" s="701">
        <v>60566.14</v>
      </c>
      <c r="H930" s="12" t="s">
        <v>889</v>
      </c>
      <c r="I930" s="12" t="s">
        <v>893</v>
      </c>
      <c r="J930" s="12" t="s">
        <v>926</v>
      </c>
      <c r="K930" s="12" t="s">
        <v>899</v>
      </c>
      <c r="L930" s="12"/>
      <c r="M930" s="11"/>
      <c r="N930" s="11"/>
      <c r="O930" s="11"/>
      <c r="P930" s="11"/>
    </row>
    <row r="931" spans="1:16" x14ac:dyDescent="0.25">
      <c r="A931" s="696">
        <v>56329</v>
      </c>
      <c r="B931" s="696">
        <v>1000</v>
      </c>
      <c r="C931" s="696">
        <v>100</v>
      </c>
      <c r="D931" s="696">
        <v>2520</v>
      </c>
      <c r="F931" s="700" t="s">
        <v>1301</v>
      </c>
      <c r="G931" s="701">
        <v>2420.63</v>
      </c>
      <c r="H931" s="12" t="s">
        <v>889</v>
      </c>
      <c r="I931" s="12" t="s">
        <v>893</v>
      </c>
      <c r="J931" s="12" t="s">
        <v>926</v>
      </c>
      <c r="K931" s="12" t="s">
        <v>899</v>
      </c>
      <c r="L931" s="12"/>
      <c r="M931" s="11"/>
      <c r="N931" s="11"/>
      <c r="O931" s="11"/>
      <c r="P931" s="11"/>
    </row>
    <row r="932" spans="1:16" x14ac:dyDescent="0.25">
      <c r="A932" s="696">
        <v>56329</v>
      </c>
      <c r="B932" s="696">
        <v>1000</v>
      </c>
      <c r="C932" s="696">
        <v>200</v>
      </c>
      <c r="D932" s="696">
        <v>2100</v>
      </c>
      <c r="F932" s="700" t="s">
        <v>1301</v>
      </c>
      <c r="G932" s="701">
        <v>2350.7399999999998</v>
      </c>
      <c r="H932" s="12" t="s">
        <v>889</v>
      </c>
      <c r="I932" s="12" t="s">
        <v>897</v>
      </c>
      <c r="J932" s="12" t="s">
        <v>902</v>
      </c>
      <c r="K932" s="12" t="s">
        <v>899</v>
      </c>
      <c r="L932" s="12"/>
      <c r="M932" s="11"/>
      <c r="N932" s="11"/>
      <c r="O932" s="11"/>
      <c r="P932" s="11"/>
    </row>
    <row r="933" spans="1:16" x14ac:dyDescent="0.25">
      <c r="A933" s="696">
        <v>56329</v>
      </c>
      <c r="B933" s="696">
        <v>1000</v>
      </c>
      <c r="C933" s="696">
        <v>200</v>
      </c>
      <c r="D933" s="696">
        <v>2200</v>
      </c>
      <c r="F933" s="700" t="s">
        <v>1301</v>
      </c>
      <c r="G933" s="701">
        <v>1123.68</v>
      </c>
      <c r="H933" s="12" t="s">
        <v>889</v>
      </c>
      <c r="I933" s="12" t="s">
        <v>897</v>
      </c>
      <c r="J933" s="12" t="s">
        <v>906</v>
      </c>
      <c r="K933" s="12" t="s">
        <v>899</v>
      </c>
      <c r="L933" s="12"/>
      <c r="M933" s="11"/>
      <c r="N933" s="11"/>
      <c r="O933" s="11"/>
      <c r="P933" s="11"/>
    </row>
    <row r="934" spans="1:16" x14ac:dyDescent="0.25">
      <c r="A934" s="696">
        <v>56329</v>
      </c>
      <c r="B934" s="696">
        <v>1531</v>
      </c>
      <c r="C934" s="696">
        <v>100</v>
      </c>
      <c r="D934" s="696">
        <v>2200</v>
      </c>
      <c r="F934" s="700" t="s">
        <v>1301</v>
      </c>
      <c r="G934" s="701">
        <v>44322.5</v>
      </c>
      <c r="H934" s="12" t="s">
        <v>997</v>
      </c>
      <c r="I934" s="12" t="s">
        <v>893</v>
      </c>
      <c r="J934" s="12" t="s">
        <v>906</v>
      </c>
      <c r="K934" s="12" t="s">
        <v>899</v>
      </c>
      <c r="L934" s="12"/>
      <c r="M934" s="11"/>
      <c r="N934" s="11"/>
      <c r="O934" s="11"/>
      <c r="P934" s="11"/>
    </row>
    <row r="935" spans="1:16" x14ac:dyDescent="0.25">
      <c r="A935" s="696">
        <v>56329</v>
      </c>
      <c r="B935" s="696">
        <v>1531</v>
      </c>
      <c r="C935" s="696">
        <v>100</v>
      </c>
      <c r="D935" s="696">
        <v>2500</v>
      </c>
      <c r="F935" s="700" t="s">
        <v>1301</v>
      </c>
      <c r="G935" s="701">
        <v>64517.03</v>
      </c>
      <c r="H935" s="12" t="s">
        <v>997</v>
      </c>
      <c r="I935" s="12" t="s">
        <v>893</v>
      </c>
      <c r="J935" s="12" t="s">
        <v>926</v>
      </c>
      <c r="K935" s="12" t="s">
        <v>899</v>
      </c>
      <c r="L935" s="12"/>
      <c r="M935" s="11"/>
      <c r="N935" s="11"/>
      <c r="O935" s="11"/>
      <c r="P935" s="11"/>
    </row>
    <row r="936" spans="1:16" x14ac:dyDescent="0.25">
      <c r="A936" s="696">
        <v>56329</v>
      </c>
      <c r="B936" s="696">
        <v>1532</v>
      </c>
      <c r="C936" s="696">
        <v>100</v>
      </c>
      <c r="D936" s="696">
        <v>2100</v>
      </c>
      <c r="F936" s="700" t="s">
        <v>1301</v>
      </c>
      <c r="G936" s="701">
        <v>295</v>
      </c>
      <c r="H936" s="12" t="s">
        <v>997</v>
      </c>
      <c r="I936" s="12" t="s">
        <v>893</v>
      </c>
      <c r="J936" s="12" t="s">
        <v>902</v>
      </c>
      <c r="K936" s="12" t="s">
        <v>899</v>
      </c>
      <c r="L936" s="12"/>
      <c r="M936" s="11"/>
      <c r="N936" s="11"/>
      <c r="O936" s="11"/>
      <c r="P936" s="11"/>
    </row>
    <row r="937" spans="1:16" x14ac:dyDescent="0.25">
      <c r="A937" s="696">
        <v>56329</v>
      </c>
      <c r="B937" s="696">
        <v>1910</v>
      </c>
      <c r="C937" s="696">
        <v>630</v>
      </c>
      <c r="D937" s="696">
        <v>1000</v>
      </c>
      <c r="F937" s="700" t="s">
        <v>1301</v>
      </c>
      <c r="G937" s="701">
        <v>1100</v>
      </c>
      <c r="H937" s="12" t="s">
        <v>997</v>
      </c>
      <c r="I937" s="12" t="s">
        <v>945</v>
      </c>
      <c r="J937" s="12" t="s">
        <v>894</v>
      </c>
      <c r="K937" s="12" t="s">
        <v>899</v>
      </c>
      <c r="L937" s="12"/>
      <c r="M937" s="11"/>
      <c r="N937" s="11"/>
      <c r="O937" s="11"/>
      <c r="P937" s="11"/>
    </row>
    <row r="938" spans="1:16" x14ac:dyDescent="0.25">
      <c r="A938" s="696">
        <v>56331</v>
      </c>
      <c r="B938" s="696">
        <v>1000</v>
      </c>
      <c r="C938" s="696">
        <v>100</v>
      </c>
      <c r="D938" s="696">
        <v>2500</v>
      </c>
      <c r="F938" s="700" t="s">
        <v>1302</v>
      </c>
      <c r="G938" s="701">
        <v>2544766.42</v>
      </c>
      <c r="H938" s="12" t="s">
        <v>889</v>
      </c>
      <c r="I938" s="12" t="s">
        <v>893</v>
      </c>
      <c r="J938" s="12" t="s">
        <v>926</v>
      </c>
      <c r="K938" s="12" t="s">
        <v>899</v>
      </c>
      <c r="L938" s="12"/>
      <c r="M938" s="11"/>
      <c r="N938" s="11"/>
      <c r="O938" s="11"/>
      <c r="P938" s="11"/>
    </row>
    <row r="939" spans="1:16" x14ac:dyDescent="0.25">
      <c r="A939" s="696">
        <v>56331</v>
      </c>
      <c r="B939" s="696">
        <v>1540</v>
      </c>
      <c r="C939" s="696">
        <v>100</v>
      </c>
      <c r="D939" s="696">
        <v>2500</v>
      </c>
      <c r="F939" s="700" t="s">
        <v>1302</v>
      </c>
      <c r="G939" s="701">
        <v>5000</v>
      </c>
      <c r="H939" s="12" t="s">
        <v>997</v>
      </c>
      <c r="I939" s="12" t="s">
        <v>893</v>
      </c>
      <c r="J939" s="12" t="s">
        <v>926</v>
      </c>
      <c r="K939" s="12" t="s">
        <v>899</v>
      </c>
      <c r="L939" s="12"/>
      <c r="M939" s="11"/>
      <c r="N939" s="11"/>
      <c r="O939" s="11"/>
      <c r="P939" s="11"/>
    </row>
    <row r="940" spans="1:16" x14ac:dyDescent="0.25">
      <c r="A940" s="696">
        <v>56333</v>
      </c>
      <c r="B940" s="696">
        <v>1000</v>
      </c>
      <c r="C940" s="696">
        <v>100</v>
      </c>
      <c r="D940" s="696">
        <v>2500</v>
      </c>
      <c r="F940" s="700" t="s">
        <v>1303</v>
      </c>
      <c r="G940" s="701">
        <v>53241.99</v>
      </c>
      <c r="H940" s="12" t="s">
        <v>889</v>
      </c>
      <c r="I940" s="12" t="s">
        <v>893</v>
      </c>
      <c r="J940" s="12" t="s">
        <v>926</v>
      </c>
      <c r="K940" s="12" t="s">
        <v>899</v>
      </c>
      <c r="L940" s="12"/>
      <c r="M940" s="11"/>
      <c r="N940" s="11"/>
      <c r="O940" s="11"/>
      <c r="P940" s="11"/>
    </row>
    <row r="941" spans="1:16" x14ac:dyDescent="0.25">
      <c r="A941" s="696">
        <v>56421</v>
      </c>
      <c r="B941" s="696">
        <v>1000</v>
      </c>
      <c r="C941" s="696">
        <v>100</v>
      </c>
      <c r="D941" s="696">
        <v>2500</v>
      </c>
      <c r="F941" s="700" t="s">
        <v>1304</v>
      </c>
      <c r="G941" s="701">
        <v>394.12</v>
      </c>
      <c r="H941" s="12" t="s">
        <v>889</v>
      </c>
      <c r="I941" s="12" t="s">
        <v>893</v>
      </c>
      <c r="J941" s="12" t="s">
        <v>926</v>
      </c>
      <c r="K941" s="12" t="s">
        <v>899</v>
      </c>
      <c r="L941" s="12"/>
      <c r="M941" s="11"/>
      <c r="N941" s="11"/>
      <c r="O941" s="11"/>
      <c r="P941" s="11"/>
    </row>
    <row r="942" spans="1:16" x14ac:dyDescent="0.25">
      <c r="A942" s="696">
        <v>56424</v>
      </c>
      <c r="B942" s="696">
        <v>1000</v>
      </c>
      <c r="C942" s="696">
        <v>100</v>
      </c>
      <c r="D942" s="696">
        <v>2300</v>
      </c>
      <c r="F942" s="700" t="s">
        <v>1305</v>
      </c>
      <c r="G942" s="701">
        <v>82.91</v>
      </c>
      <c r="H942" s="12" t="s">
        <v>889</v>
      </c>
      <c r="I942" s="12" t="s">
        <v>893</v>
      </c>
      <c r="J942" s="12" t="s">
        <v>918</v>
      </c>
      <c r="K942" s="12" t="s">
        <v>899</v>
      </c>
      <c r="L942" s="12"/>
      <c r="M942" s="11"/>
      <c r="N942" s="11"/>
      <c r="O942" s="11"/>
      <c r="P942" s="11"/>
    </row>
    <row r="943" spans="1:16" x14ac:dyDescent="0.25">
      <c r="A943" s="696">
        <v>56431</v>
      </c>
      <c r="B943" s="696">
        <v>1000</v>
      </c>
      <c r="C943" s="696">
        <v>100</v>
      </c>
      <c r="D943" s="696">
        <v>2600</v>
      </c>
      <c r="F943" s="700" t="s">
        <v>1306</v>
      </c>
      <c r="G943" s="701">
        <v>166.43</v>
      </c>
      <c r="H943" s="12" t="s">
        <v>889</v>
      </c>
      <c r="I943" s="12" t="s">
        <v>893</v>
      </c>
      <c r="J943" s="12" t="s">
        <v>930</v>
      </c>
      <c r="K943" s="12" t="s">
        <v>899</v>
      </c>
      <c r="L943" s="12"/>
      <c r="M943" s="11"/>
      <c r="N943" s="11"/>
      <c r="O943" s="11"/>
      <c r="P943" s="11"/>
    </row>
    <row r="944" spans="1:16" x14ac:dyDescent="0.25">
      <c r="A944" s="696">
        <v>56432</v>
      </c>
      <c r="B944" s="696">
        <v>1000</v>
      </c>
      <c r="C944" s="696">
        <v>100</v>
      </c>
      <c r="D944" s="696">
        <v>1000</v>
      </c>
      <c r="F944" s="700" t="s">
        <v>1307</v>
      </c>
      <c r="G944" s="701">
        <v>5006.18</v>
      </c>
      <c r="H944" s="12" t="s">
        <v>889</v>
      </c>
      <c r="I944" s="12" t="s">
        <v>893</v>
      </c>
      <c r="J944" s="12" t="s">
        <v>894</v>
      </c>
      <c r="K944" s="12" t="s">
        <v>899</v>
      </c>
      <c r="L944" s="12"/>
      <c r="M944" s="11"/>
      <c r="N944" s="11"/>
      <c r="O944" s="11"/>
      <c r="P944" s="11"/>
    </row>
    <row r="945" spans="1:16" x14ac:dyDescent="0.25">
      <c r="A945" s="696">
        <v>56432</v>
      </c>
      <c r="B945" s="696">
        <v>1000</v>
      </c>
      <c r="C945" s="696">
        <v>100</v>
      </c>
      <c r="D945" s="696">
        <v>2200</v>
      </c>
      <c r="F945" s="700" t="s">
        <v>1307</v>
      </c>
      <c r="G945" s="701">
        <v>287.45</v>
      </c>
      <c r="H945" s="12" t="s">
        <v>889</v>
      </c>
      <c r="I945" s="12" t="s">
        <v>893</v>
      </c>
      <c r="J945" s="12" t="s">
        <v>906</v>
      </c>
      <c r="K945" s="12" t="s">
        <v>899</v>
      </c>
      <c r="L945" s="12"/>
      <c r="M945" s="11"/>
      <c r="N945" s="11"/>
      <c r="O945" s="11"/>
      <c r="P945" s="11"/>
    </row>
    <row r="946" spans="1:16" x14ac:dyDescent="0.25">
      <c r="A946" s="696">
        <v>56440</v>
      </c>
      <c r="B946" s="696">
        <v>1000</v>
      </c>
      <c r="C946" s="696">
        <v>100</v>
      </c>
      <c r="D946" s="696">
        <v>1000</v>
      </c>
      <c r="F946" s="700" t="s">
        <v>1308</v>
      </c>
      <c r="G946" s="701">
        <v>90355.03</v>
      </c>
      <c r="H946" s="12" t="s">
        <v>889</v>
      </c>
      <c r="I946" s="12" t="s">
        <v>893</v>
      </c>
      <c r="J946" s="12" t="s">
        <v>894</v>
      </c>
      <c r="K946" s="12" t="s">
        <v>899</v>
      </c>
      <c r="L946" s="12"/>
      <c r="M946" s="11"/>
      <c r="N946" s="11"/>
      <c r="O946" s="11"/>
      <c r="P946" s="11"/>
    </row>
    <row r="947" spans="1:16" x14ac:dyDescent="0.25">
      <c r="A947" s="696">
        <v>56440</v>
      </c>
      <c r="B947" s="696">
        <v>1000</v>
      </c>
      <c r="C947" s="696">
        <v>100</v>
      </c>
      <c r="D947" s="696">
        <v>2300</v>
      </c>
      <c r="F947" s="700" t="s">
        <v>1308</v>
      </c>
      <c r="G947" s="701">
        <v>425.8</v>
      </c>
      <c r="H947" s="12" t="s">
        <v>889</v>
      </c>
      <c r="I947" s="12" t="s">
        <v>893</v>
      </c>
      <c r="J947" s="12" t="s">
        <v>918</v>
      </c>
      <c r="K947" s="12" t="s">
        <v>899</v>
      </c>
      <c r="L947" s="12"/>
      <c r="M947" s="11"/>
      <c r="N947" s="11"/>
      <c r="O947" s="11"/>
      <c r="P947" s="11"/>
    </row>
    <row r="948" spans="1:16" x14ac:dyDescent="0.25">
      <c r="A948" s="696">
        <v>56440</v>
      </c>
      <c r="B948" s="696">
        <v>1000</v>
      </c>
      <c r="C948" s="696">
        <v>100</v>
      </c>
      <c r="D948" s="696">
        <v>2500</v>
      </c>
      <c r="F948" s="700" t="s">
        <v>1308</v>
      </c>
      <c r="G948" s="701">
        <v>15874.84</v>
      </c>
      <c r="H948" s="12" t="s">
        <v>889</v>
      </c>
      <c r="I948" s="12" t="s">
        <v>893</v>
      </c>
      <c r="J948" s="12" t="s">
        <v>926</v>
      </c>
      <c r="K948" s="12" t="s">
        <v>899</v>
      </c>
      <c r="L948" s="12"/>
      <c r="M948" s="11"/>
      <c r="N948" s="11"/>
      <c r="O948" s="11"/>
      <c r="P948" s="11"/>
    </row>
    <row r="949" spans="1:16" x14ac:dyDescent="0.25">
      <c r="A949" s="696">
        <v>56440</v>
      </c>
      <c r="B949" s="696">
        <v>1000</v>
      </c>
      <c r="C949" s="696">
        <v>100</v>
      </c>
      <c r="D949" s="696">
        <v>2600</v>
      </c>
      <c r="F949" s="700" t="s">
        <v>1308</v>
      </c>
      <c r="G949" s="701">
        <v>28560.65</v>
      </c>
      <c r="H949" s="12" t="s">
        <v>889</v>
      </c>
      <c r="I949" s="12" t="s">
        <v>893</v>
      </c>
      <c r="J949" s="12" t="s">
        <v>930</v>
      </c>
      <c r="K949" s="12" t="s">
        <v>899</v>
      </c>
      <c r="L949" s="12"/>
      <c r="M949" s="11"/>
      <c r="N949" s="11"/>
      <c r="O949" s="11"/>
      <c r="P949" s="11"/>
    </row>
    <row r="950" spans="1:16" x14ac:dyDescent="0.25">
      <c r="A950" s="696">
        <v>56440</v>
      </c>
      <c r="B950" s="696">
        <v>1910</v>
      </c>
      <c r="C950" s="696">
        <v>615</v>
      </c>
      <c r="D950" s="696">
        <v>1000</v>
      </c>
      <c r="F950" s="700" t="s">
        <v>1308</v>
      </c>
      <c r="G950" s="701">
        <v>7493.11</v>
      </c>
      <c r="H950" s="12" t="s">
        <v>997</v>
      </c>
      <c r="I950" s="12" t="s">
        <v>937</v>
      </c>
      <c r="J950" s="12" t="s">
        <v>894</v>
      </c>
      <c r="K950" s="12" t="s">
        <v>899</v>
      </c>
      <c r="L950" s="12"/>
      <c r="M950" s="11"/>
      <c r="N950" s="11"/>
      <c r="O950" s="11"/>
      <c r="P950" s="11"/>
    </row>
    <row r="951" spans="1:16" x14ac:dyDescent="0.25">
      <c r="A951" s="696">
        <v>56443</v>
      </c>
      <c r="B951" s="696">
        <v>1000</v>
      </c>
      <c r="C951" s="696">
        <v>100</v>
      </c>
      <c r="D951" s="696">
        <v>1000</v>
      </c>
      <c r="F951" s="700" t="s">
        <v>1309</v>
      </c>
      <c r="G951" s="701">
        <v>1390.88</v>
      </c>
      <c r="H951" s="12" t="s">
        <v>889</v>
      </c>
      <c r="I951" s="12" t="s">
        <v>893</v>
      </c>
      <c r="J951" s="12" t="s">
        <v>894</v>
      </c>
      <c r="K951" s="12" t="s">
        <v>899</v>
      </c>
      <c r="L951" s="12"/>
      <c r="M951" s="11"/>
      <c r="N951" s="11"/>
      <c r="O951" s="11"/>
      <c r="P951" s="11"/>
    </row>
    <row r="952" spans="1:16" x14ac:dyDescent="0.25">
      <c r="A952" s="696">
        <v>56443</v>
      </c>
      <c r="B952" s="696">
        <v>1000</v>
      </c>
      <c r="C952" s="696">
        <v>100</v>
      </c>
      <c r="D952" s="696">
        <v>2500</v>
      </c>
      <c r="F952" s="700" t="s">
        <v>1309</v>
      </c>
      <c r="G952" s="701">
        <v>16920.95</v>
      </c>
      <c r="H952" s="12" t="s">
        <v>889</v>
      </c>
      <c r="I952" s="12" t="s">
        <v>893</v>
      </c>
      <c r="J952" s="12" t="s">
        <v>926</v>
      </c>
      <c r="K952" s="12" t="s">
        <v>899</v>
      </c>
      <c r="L952" s="12"/>
      <c r="M952" s="11"/>
      <c r="N952" s="11"/>
      <c r="O952" s="11"/>
      <c r="P952" s="11"/>
    </row>
    <row r="953" spans="1:16" x14ac:dyDescent="0.25">
      <c r="A953" s="696">
        <v>56510</v>
      </c>
      <c r="B953" s="696">
        <v>1327</v>
      </c>
      <c r="C953" s="696">
        <v>400</v>
      </c>
      <c r="D953" s="696">
        <v>2700</v>
      </c>
      <c r="F953" s="700" t="s">
        <v>1310</v>
      </c>
      <c r="G953" s="701">
        <v>10</v>
      </c>
      <c r="H953" s="12" t="s">
        <v>968</v>
      </c>
      <c r="I953" s="12" t="s">
        <v>913</v>
      </c>
      <c r="J953" s="12" t="s">
        <v>934</v>
      </c>
      <c r="K953" s="12" t="s">
        <v>899</v>
      </c>
      <c r="L953" s="12"/>
      <c r="M953" s="11"/>
      <c r="N953" s="11"/>
      <c r="O953" s="11"/>
      <c r="P953" s="11"/>
    </row>
    <row r="954" spans="1:16" x14ac:dyDescent="0.25">
      <c r="A954" s="696">
        <v>56510</v>
      </c>
      <c r="B954" s="696">
        <v>1532</v>
      </c>
      <c r="C954" s="696">
        <v>400</v>
      </c>
      <c r="D954" s="696">
        <v>2700</v>
      </c>
      <c r="F954" s="700" t="s">
        <v>1310</v>
      </c>
      <c r="G954" s="701">
        <v>300.08999999999997</v>
      </c>
      <c r="H954" s="12" t="s">
        <v>997</v>
      </c>
      <c r="I954" s="12" t="s">
        <v>913</v>
      </c>
      <c r="J954" s="12" t="s">
        <v>934</v>
      </c>
      <c r="K954" s="12" t="s">
        <v>899</v>
      </c>
      <c r="L954" s="12"/>
      <c r="M954" s="11"/>
      <c r="N954" s="11"/>
      <c r="O954" s="11"/>
      <c r="P954" s="11"/>
    </row>
    <row r="955" spans="1:16" x14ac:dyDescent="0.25">
      <c r="A955" s="696">
        <v>56510</v>
      </c>
      <c r="B955" s="696">
        <v>1534</v>
      </c>
      <c r="C955" s="696">
        <v>400</v>
      </c>
      <c r="D955" s="696">
        <v>2700</v>
      </c>
      <c r="F955" s="700" t="s">
        <v>1310</v>
      </c>
      <c r="G955" s="701">
        <v>762.45</v>
      </c>
      <c r="H955" s="12" t="s">
        <v>997</v>
      </c>
      <c r="I955" s="12" t="s">
        <v>913</v>
      </c>
      <c r="J955" s="12" t="s">
        <v>934</v>
      </c>
      <c r="K955" s="12" t="s">
        <v>899</v>
      </c>
      <c r="L955" s="12"/>
      <c r="M955" s="11"/>
      <c r="N955" s="11"/>
      <c r="O955" s="11"/>
      <c r="P955" s="11"/>
    </row>
    <row r="956" spans="1:16" x14ac:dyDescent="0.25">
      <c r="A956" s="696">
        <v>56520</v>
      </c>
      <c r="B956" s="696">
        <v>1000</v>
      </c>
      <c r="C956" s="696">
        <v>100</v>
      </c>
      <c r="D956" s="696">
        <v>2600</v>
      </c>
      <c r="F956" s="700" t="s">
        <v>1311</v>
      </c>
      <c r="G956" s="701">
        <v>138227.92000000001</v>
      </c>
      <c r="H956" s="12" t="s">
        <v>889</v>
      </c>
      <c r="I956" s="12" t="s">
        <v>893</v>
      </c>
      <c r="J956" s="12" t="s">
        <v>930</v>
      </c>
      <c r="K956" s="12" t="s">
        <v>899</v>
      </c>
      <c r="L956" s="12"/>
      <c r="M956" s="11"/>
      <c r="N956" s="11"/>
      <c r="O956" s="11"/>
      <c r="P956" s="11"/>
    </row>
    <row r="957" spans="1:16" x14ac:dyDescent="0.25">
      <c r="A957" s="696">
        <v>56531</v>
      </c>
      <c r="B957" s="696">
        <v>1000</v>
      </c>
      <c r="C957" s="696">
        <v>100</v>
      </c>
      <c r="D957" s="696">
        <v>2300</v>
      </c>
      <c r="F957" s="700" t="s">
        <v>1312</v>
      </c>
      <c r="G957" s="701">
        <v>311.68</v>
      </c>
      <c r="H957" s="12" t="s">
        <v>889</v>
      </c>
      <c r="I957" s="12" t="s">
        <v>893</v>
      </c>
      <c r="J957" s="12" t="s">
        <v>918</v>
      </c>
      <c r="K957" s="12" t="s">
        <v>899</v>
      </c>
      <c r="L957" s="12"/>
      <c r="M957" s="11"/>
      <c r="N957" s="11"/>
      <c r="O957" s="11"/>
      <c r="P957" s="11"/>
    </row>
    <row r="958" spans="1:16" x14ac:dyDescent="0.25">
      <c r="A958" s="696">
        <v>56531</v>
      </c>
      <c r="B958" s="696">
        <v>1000</v>
      </c>
      <c r="C958" s="696">
        <v>100</v>
      </c>
      <c r="D958" s="696">
        <v>2400</v>
      </c>
      <c r="F958" s="700" t="s">
        <v>1312</v>
      </c>
      <c r="G958" s="701">
        <v>225.66</v>
      </c>
      <c r="H958" s="12" t="s">
        <v>889</v>
      </c>
      <c r="I958" s="12" t="s">
        <v>893</v>
      </c>
      <c r="J958" s="12" t="s">
        <v>922</v>
      </c>
      <c r="K958" s="12" t="s">
        <v>899</v>
      </c>
      <c r="L958" s="12"/>
      <c r="M958" s="11"/>
      <c r="N958" s="11"/>
      <c r="O958" s="11"/>
      <c r="P958" s="11"/>
    </row>
    <row r="959" spans="1:16" x14ac:dyDescent="0.25">
      <c r="A959" s="696">
        <v>56531</v>
      </c>
      <c r="B959" s="696">
        <v>1000</v>
      </c>
      <c r="C959" s="696">
        <v>100</v>
      </c>
      <c r="D959" s="696">
        <v>2500</v>
      </c>
      <c r="F959" s="700" t="s">
        <v>1312</v>
      </c>
      <c r="G959" s="701">
        <v>21121.01</v>
      </c>
      <c r="H959" s="12" t="s">
        <v>889</v>
      </c>
      <c r="I959" s="12" t="s">
        <v>893</v>
      </c>
      <c r="J959" s="12" t="s">
        <v>926</v>
      </c>
      <c r="K959" s="12" t="s">
        <v>899</v>
      </c>
      <c r="L959" s="12"/>
      <c r="M959" s="11"/>
      <c r="N959" s="11"/>
      <c r="O959" s="11"/>
      <c r="P959" s="11"/>
    </row>
    <row r="960" spans="1:16" x14ac:dyDescent="0.25">
      <c r="A960" s="696">
        <v>56531</v>
      </c>
      <c r="B960" s="696">
        <v>1000</v>
      </c>
      <c r="C960" s="696">
        <v>100</v>
      </c>
      <c r="D960" s="696">
        <v>2600</v>
      </c>
      <c r="F960" s="700" t="s">
        <v>1312</v>
      </c>
      <c r="G960" s="701">
        <v>126816.99</v>
      </c>
      <c r="H960" s="12" t="s">
        <v>889</v>
      </c>
      <c r="I960" s="12" t="s">
        <v>893</v>
      </c>
      <c r="J960" s="12" t="s">
        <v>930</v>
      </c>
      <c r="K960" s="12" t="s">
        <v>899</v>
      </c>
      <c r="L960" s="12"/>
      <c r="M960" s="11"/>
      <c r="N960" s="11"/>
      <c r="O960" s="11"/>
      <c r="P960" s="11"/>
    </row>
    <row r="961" spans="1:16" x14ac:dyDescent="0.25">
      <c r="A961" s="696">
        <v>56533</v>
      </c>
      <c r="B961" s="696">
        <v>1000</v>
      </c>
      <c r="C961" s="696">
        <v>100</v>
      </c>
      <c r="D961" s="696">
        <v>1000</v>
      </c>
      <c r="F961" s="700" t="s">
        <v>1313</v>
      </c>
      <c r="G961" s="701">
        <v>1642.67</v>
      </c>
      <c r="H961" s="12" t="s">
        <v>889</v>
      </c>
      <c r="I961" s="12" t="s">
        <v>893</v>
      </c>
      <c r="J961" s="12" t="s">
        <v>894</v>
      </c>
      <c r="K961" s="12" t="s">
        <v>899</v>
      </c>
      <c r="L961" s="12"/>
      <c r="M961" s="11"/>
      <c r="N961" s="11"/>
      <c r="O961" s="11"/>
      <c r="P961" s="11"/>
    </row>
    <row r="962" spans="1:16" x14ac:dyDescent="0.25">
      <c r="A962" s="696">
        <v>56533</v>
      </c>
      <c r="B962" s="696">
        <v>1000</v>
      </c>
      <c r="C962" s="696">
        <v>100</v>
      </c>
      <c r="D962" s="696">
        <v>2100</v>
      </c>
      <c r="F962" s="700" t="s">
        <v>1313</v>
      </c>
      <c r="G962" s="701">
        <v>46.78</v>
      </c>
      <c r="H962" s="12" t="s">
        <v>889</v>
      </c>
      <c r="I962" s="12" t="s">
        <v>893</v>
      </c>
      <c r="J962" s="12" t="s">
        <v>902</v>
      </c>
      <c r="K962" s="12" t="s">
        <v>899</v>
      </c>
      <c r="L962" s="12"/>
      <c r="M962" s="11"/>
      <c r="N962" s="11"/>
      <c r="O962" s="11"/>
      <c r="P962" s="11"/>
    </row>
    <row r="963" spans="1:16" x14ac:dyDescent="0.25">
      <c r="A963" s="696">
        <v>56533</v>
      </c>
      <c r="B963" s="696">
        <v>1000</v>
      </c>
      <c r="C963" s="696">
        <v>100</v>
      </c>
      <c r="D963" s="696">
        <v>2200</v>
      </c>
      <c r="F963" s="700" t="s">
        <v>1313</v>
      </c>
      <c r="G963" s="701">
        <v>245.7</v>
      </c>
      <c r="H963" s="12" t="s">
        <v>889</v>
      </c>
      <c r="I963" s="12" t="s">
        <v>893</v>
      </c>
      <c r="J963" s="12" t="s">
        <v>906</v>
      </c>
      <c r="K963" s="12" t="s">
        <v>899</v>
      </c>
      <c r="L963" s="12"/>
      <c r="M963" s="11"/>
      <c r="N963" s="11"/>
      <c r="O963" s="11"/>
      <c r="P963" s="11"/>
    </row>
    <row r="964" spans="1:16" x14ac:dyDescent="0.25">
      <c r="A964" s="696">
        <v>56533</v>
      </c>
      <c r="B964" s="696">
        <v>1000</v>
      </c>
      <c r="C964" s="696">
        <v>100</v>
      </c>
      <c r="D964" s="696">
        <v>2400</v>
      </c>
      <c r="F964" s="700" t="s">
        <v>1313</v>
      </c>
      <c r="G964" s="701">
        <v>40.799999999999997</v>
      </c>
      <c r="H964" s="12" t="s">
        <v>889</v>
      </c>
      <c r="I964" s="12" t="s">
        <v>893</v>
      </c>
      <c r="J964" s="12" t="s">
        <v>922</v>
      </c>
      <c r="K964" s="12" t="s">
        <v>899</v>
      </c>
      <c r="L964" s="12"/>
      <c r="M964" s="11"/>
      <c r="N964" s="11"/>
      <c r="O964" s="11"/>
      <c r="P964" s="11"/>
    </row>
    <row r="965" spans="1:16" x14ac:dyDescent="0.25">
      <c r="A965" s="696">
        <v>56533</v>
      </c>
      <c r="B965" s="696">
        <v>1000</v>
      </c>
      <c r="C965" s="696">
        <v>100</v>
      </c>
      <c r="D965" s="696">
        <v>2500</v>
      </c>
      <c r="F965" s="700" t="s">
        <v>1313</v>
      </c>
      <c r="G965" s="701">
        <v>7275.7</v>
      </c>
      <c r="H965" s="12" t="s">
        <v>889</v>
      </c>
      <c r="I965" s="12" t="s">
        <v>893</v>
      </c>
      <c r="J965" s="12" t="s">
        <v>926</v>
      </c>
      <c r="K965" s="12" t="s">
        <v>899</v>
      </c>
      <c r="L965" s="12"/>
      <c r="M965" s="11"/>
      <c r="N965" s="11"/>
      <c r="O965" s="11"/>
      <c r="P965" s="11"/>
    </row>
    <row r="966" spans="1:16" x14ac:dyDescent="0.25">
      <c r="A966" s="696">
        <v>56533</v>
      </c>
      <c r="B966" s="696">
        <v>1000</v>
      </c>
      <c r="C966" s="696">
        <v>100</v>
      </c>
      <c r="D966" s="696">
        <v>2600</v>
      </c>
      <c r="F966" s="700" t="s">
        <v>1313</v>
      </c>
      <c r="G966" s="701">
        <v>29.44</v>
      </c>
      <c r="H966" s="12" t="s">
        <v>889</v>
      </c>
      <c r="I966" s="12" t="s">
        <v>893</v>
      </c>
      <c r="J966" s="12" t="s">
        <v>930</v>
      </c>
      <c r="K966" s="12" t="s">
        <v>899</v>
      </c>
      <c r="L966" s="12"/>
      <c r="M966" s="11"/>
      <c r="N966" s="11"/>
      <c r="O966" s="11"/>
      <c r="P966" s="11"/>
    </row>
    <row r="967" spans="1:16" x14ac:dyDescent="0.25">
      <c r="A967" s="696">
        <v>56533</v>
      </c>
      <c r="B967" s="696">
        <v>1000</v>
      </c>
      <c r="C967" s="696">
        <v>200</v>
      </c>
      <c r="D967" s="696">
        <v>1000</v>
      </c>
      <c r="F967" s="700" t="s">
        <v>1313</v>
      </c>
      <c r="G967" s="701">
        <v>9.68</v>
      </c>
      <c r="H967" s="12" t="s">
        <v>889</v>
      </c>
      <c r="I967" s="12" t="s">
        <v>897</v>
      </c>
      <c r="J967" s="12" t="s">
        <v>894</v>
      </c>
      <c r="K967" s="12" t="s">
        <v>899</v>
      </c>
      <c r="L967" s="12"/>
      <c r="M967" s="11"/>
      <c r="N967" s="11"/>
      <c r="O967" s="11"/>
      <c r="P967" s="11"/>
    </row>
    <row r="968" spans="1:16" x14ac:dyDescent="0.25">
      <c r="A968" s="696">
        <v>56533</v>
      </c>
      <c r="B968" s="696">
        <v>1000</v>
      </c>
      <c r="C968" s="696">
        <v>200</v>
      </c>
      <c r="D968" s="696">
        <v>2100</v>
      </c>
      <c r="F968" s="700" t="s">
        <v>1313</v>
      </c>
      <c r="G968" s="701">
        <v>243.96</v>
      </c>
      <c r="H968" s="12" t="s">
        <v>889</v>
      </c>
      <c r="I968" s="12" t="s">
        <v>897</v>
      </c>
      <c r="J968" s="12" t="s">
        <v>902</v>
      </c>
      <c r="K968" s="12" t="s">
        <v>899</v>
      </c>
      <c r="L968" s="12"/>
      <c r="M968" s="11"/>
      <c r="N968" s="11"/>
      <c r="O968" s="11"/>
      <c r="P968" s="11"/>
    </row>
    <row r="969" spans="1:16" x14ac:dyDescent="0.25">
      <c r="A969" s="696">
        <v>56533</v>
      </c>
      <c r="B969" s="696">
        <v>1756</v>
      </c>
      <c r="C969" s="696">
        <v>615</v>
      </c>
      <c r="D969" s="696">
        <v>1000</v>
      </c>
      <c r="F969" s="700" t="s">
        <v>1313</v>
      </c>
      <c r="G969" s="701">
        <v>7.9</v>
      </c>
      <c r="H969" s="12" t="s">
        <v>997</v>
      </c>
      <c r="I969" s="12" t="s">
        <v>937</v>
      </c>
      <c r="J969" s="12" t="s">
        <v>894</v>
      </c>
      <c r="K969" s="12" t="s">
        <v>899</v>
      </c>
      <c r="L969" s="12"/>
      <c r="M969" s="11"/>
      <c r="N969" s="11"/>
      <c r="O969" s="11"/>
      <c r="P969" s="11"/>
    </row>
    <row r="970" spans="1:16" x14ac:dyDescent="0.25">
      <c r="A970" s="696">
        <v>56550</v>
      </c>
      <c r="B970" s="696">
        <v>1000</v>
      </c>
      <c r="C970" s="696">
        <v>100</v>
      </c>
      <c r="D970" s="696">
        <v>1000</v>
      </c>
      <c r="F970" s="700" t="s">
        <v>1314</v>
      </c>
      <c r="G970" s="701">
        <v>14318.92</v>
      </c>
      <c r="H970" s="12" t="s">
        <v>889</v>
      </c>
      <c r="I970" s="12" t="s">
        <v>893</v>
      </c>
      <c r="J970" s="12" t="s">
        <v>894</v>
      </c>
      <c r="K970" s="12" t="s">
        <v>899</v>
      </c>
      <c r="L970" s="12"/>
      <c r="M970" s="11"/>
      <c r="N970" s="11"/>
      <c r="O970" s="11"/>
      <c r="P970" s="11"/>
    </row>
    <row r="971" spans="1:16" x14ac:dyDescent="0.25">
      <c r="A971" s="696">
        <v>56550</v>
      </c>
      <c r="B971" s="696">
        <v>1000</v>
      </c>
      <c r="C971" s="696">
        <v>100</v>
      </c>
      <c r="D971" s="696">
        <v>2400</v>
      </c>
      <c r="F971" s="700" t="s">
        <v>1314</v>
      </c>
      <c r="G971" s="701">
        <v>296.92</v>
      </c>
      <c r="H971" s="12" t="s">
        <v>889</v>
      </c>
      <c r="I971" s="12" t="s">
        <v>893</v>
      </c>
      <c r="J971" s="12" t="s">
        <v>922</v>
      </c>
      <c r="K971" s="12" t="s">
        <v>899</v>
      </c>
      <c r="L971" s="12"/>
      <c r="M971" s="11"/>
      <c r="N971" s="11"/>
      <c r="O971" s="11"/>
      <c r="P971" s="11"/>
    </row>
    <row r="972" spans="1:16" x14ac:dyDescent="0.25">
      <c r="A972" s="696">
        <v>56550</v>
      </c>
      <c r="B972" s="696">
        <v>1000</v>
      </c>
      <c r="C972" s="696">
        <v>100</v>
      </c>
      <c r="D972" s="696">
        <v>2500</v>
      </c>
      <c r="F972" s="700" t="s">
        <v>1314</v>
      </c>
      <c r="G972" s="701">
        <v>9536.58</v>
      </c>
      <c r="H972" s="12" t="s">
        <v>889</v>
      </c>
      <c r="I972" s="12" t="s">
        <v>893</v>
      </c>
      <c r="J972" s="12" t="s">
        <v>926</v>
      </c>
      <c r="K972" s="12" t="s">
        <v>899</v>
      </c>
      <c r="L972" s="12"/>
      <c r="M972" s="11"/>
      <c r="N972" s="11"/>
      <c r="O972" s="11"/>
      <c r="P972" s="11"/>
    </row>
    <row r="973" spans="1:16" x14ac:dyDescent="0.25">
      <c r="A973" s="696">
        <v>56550</v>
      </c>
      <c r="B973" s="696">
        <v>1000</v>
      </c>
      <c r="C973" s="696">
        <v>200</v>
      </c>
      <c r="D973" s="696">
        <v>2100</v>
      </c>
      <c r="F973" s="700" t="s">
        <v>1314</v>
      </c>
      <c r="G973" s="701">
        <v>25</v>
      </c>
      <c r="H973" s="12" t="s">
        <v>889</v>
      </c>
      <c r="I973" s="12" t="s">
        <v>897</v>
      </c>
      <c r="J973" s="12" t="s">
        <v>902</v>
      </c>
      <c r="K973" s="12" t="s">
        <v>899</v>
      </c>
      <c r="L973" s="12"/>
      <c r="M973" s="11"/>
      <c r="N973" s="11"/>
      <c r="O973" s="11"/>
      <c r="P973" s="11"/>
    </row>
    <row r="974" spans="1:16" x14ac:dyDescent="0.25">
      <c r="A974" s="696">
        <v>56580</v>
      </c>
      <c r="B974" s="696">
        <v>1000</v>
      </c>
      <c r="C974" s="696">
        <v>100</v>
      </c>
      <c r="D974" s="696">
        <v>1000</v>
      </c>
      <c r="F974" s="700" t="s">
        <v>1315</v>
      </c>
      <c r="G974" s="701">
        <v>136421.72</v>
      </c>
      <c r="H974" s="12" t="s">
        <v>889</v>
      </c>
      <c r="I974" s="12" t="s">
        <v>893</v>
      </c>
      <c r="J974" s="12" t="s">
        <v>894</v>
      </c>
      <c r="K974" s="12" t="s">
        <v>899</v>
      </c>
      <c r="L974" s="12"/>
      <c r="M974" s="11"/>
      <c r="N974" s="11"/>
      <c r="O974" s="11"/>
      <c r="P974" s="11"/>
    </row>
    <row r="975" spans="1:16" x14ac:dyDescent="0.25">
      <c r="A975" s="696">
        <v>56580</v>
      </c>
      <c r="B975" s="696">
        <v>1000</v>
      </c>
      <c r="C975" s="696">
        <v>100</v>
      </c>
      <c r="D975" s="696">
        <v>2100</v>
      </c>
      <c r="F975" s="700" t="s">
        <v>1315</v>
      </c>
      <c r="G975" s="701">
        <v>53312.37</v>
      </c>
      <c r="H975" s="12" t="s">
        <v>889</v>
      </c>
      <c r="I975" s="12" t="s">
        <v>893</v>
      </c>
      <c r="J975" s="12" t="s">
        <v>902</v>
      </c>
      <c r="K975" s="12" t="s">
        <v>899</v>
      </c>
      <c r="L975" s="12"/>
      <c r="M975" s="11"/>
      <c r="N975" s="11"/>
      <c r="O975" s="11"/>
      <c r="P975" s="11"/>
    </row>
    <row r="976" spans="1:16" x14ac:dyDescent="0.25">
      <c r="A976" s="696">
        <v>56580</v>
      </c>
      <c r="B976" s="696">
        <v>1000</v>
      </c>
      <c r="C976" s="696">
        <v>100</v>
      </c>
      <c r="D976" s="696">
        <v>2200</v>
      </c>
      <c r="F976" s="700" t="s">
        <v>1315</v>
      </c>
      <c r="G976" s="701">
        <v>12728.83</v>
      </c>
      <c r="H976" s="12" t="s">
        <v>889</v>
      </c>
      <c r="I976" s="12" t="s">
        <v>893</v>
      </c>
      <c r="J976" s="12" t="s">
        <v>906</v>
      </c>
      <c r="K976" s="12" t="s">
        <v>899</v>
      </c>
      <c r="L976" s="12"/>
      <c r="M976" s="11"/>
      <c r="N976" s="11"/>
      <c r="O976" s="11"/>
      <c r="P976" s="11"/>
    </row>
    <row r="977" spans="1:16" x14ac:dyDescent="0.25">
      <c r="A977" s="696">
        <v>56580</v>
      </c>
      <c r="B977" s="696">
        <v>1000</v>
      </c>
      <c r="C977" s="696">
        <v>100</v>
      </c>
      <c r="D977" s="696">
        <v>2300</v>
      </c>
      <c r="F977" s="700" t="s">
        <v>1315</v>
      </c>
      <c r="G977" s="701">
        <v>48666.5</v>
      </c>
      <c r="H977" s="12" t="s">
        <v>889</v>
      </c>
      <c r="I977" s="12" t="s">
        <v>893</v>
      </c>
      <c r="J977" s="12" t="s">
        <v>918</v>
      </c>
      <c r="K977" s="12" t="s">
        <v>899</v>
      </c>
      <c r="L977" s="12"/>
      <c r="M977" s="11"/>
      <c r="N977" s="11"/>
      <c r="O977" s="11"/>
      <c r="P977" s="11"/>
    </row>
    <row r="978" spans="1:16" x14ac:dyDescent="0.25">
      <c r="A978" s="696">
        <v>56580</v>
      </c>
      <c r="B978" s="696">
        <v>1000</v>
      </c>
      <c r="C978" s="696">
        <v>100</v>
      </c>
      <c r="D978" s="696">
        <v>2400</v>
      </c>
      <c r="F978" s="700" t="s">
        <v>1315</v>
      </c>
      <c r="G978" s="701">
        <v>38823.21</v>
      </c>
      <c r="H978" s="12" t="s">
        <v>889</v>
      </c>
      <c r="I978" s="12" t="s">
        <v>893</v>
      </c>
      <c r="J978" s="12" t="s">
        <v>922</v>
      </c>
      <c r="K978" s="12" t="s">
        <v>899</v>
      </c>
      <c r="L978" s="12"/>
      <c r="M978" s="11"/>
      <c r="N978" s="11"/>
      <c r="O978" s="11"/>
      <c r="P978" s="11"/>
    </row>
    <row r="979" spans="1:16" x14ac:dyDescent="0.25">
      <c r="A979" s="696">
        <v>56580</v>
      </c>
      <c r="B979" s="696">
        <v>1000</v>
      </c>
      <c r="C979" s="696">
        <v>100</v>
      </c>
      <c r="D979" s="696">
        <v>2500</v>
      </c>
      <c r="F979" s="700" t="s">
        <v>1315</v>
      </c>
      <c r="G979" s="701">
        <v>140230.68</v>
      </c>
      <c r="H979" s="12" t="s">
        <v>889</v>
      </c>
      <c r="I979" s="12" t="s">
        <v>893</v>
      </c>
      <c r="J979" s="12" t="s">
        <v>926</v>
      </c>
      <c r="K979" s="12" t="s">
        <v>899</v>
      </c>
      <c r="L979" s="12"/>
      <c r="M979" s="11"/>
      <c r="N979" s="11"/>
      <c r="O979" s="11"/>
      <c r="P979" s="11"/>
    </row>
    <row r="980" spans="1:16" x14ac:dyDescent="0.25">
      <c r="A980" s="696">
        <v>56580</v>
      </c>
      <c r="B980" s="696">
        <v>1000</v>
      </c>
      <c r="C980" s="696">
        <v>100</v>
      </c>
      <c r="D980" s="696">
        <v>2510</v>
      </c>
      <c r="F980" s="700" t="s">
        <v>1315</v>
      </c>
      <c r="G980" s="701">
        <v>7481.63</v>
      </c>
      <c r="H980" s="12" t="s">
        <v>889</v>
      </c>
      <c r="I980" s="12" t="s">
        <v>893</v>
      </c>
      <c r="J980" s="12" t="s">
        <v>926</v>
      </c>
      <c r="K980" s="12" t="s">
        <v>899</v>
      </c>
      <c r="L980" s="12"/>
      <c r="M980" s="11"/>
      <c r="N980" s="11"/>
      <c r="O980" s="11"/>
      <c r="P980" s="11"/>
    </row>
    <row r="981" spans="1:16" x14ac:dyDescent="0.25">
      <c r="A981" s="696">
        <v>56580</v>
      </c>
      <c r="B981" s="696">
        <v>1000</v>
      </c>
      <c r="C981" s="696">
        <v>100</v>
      </c>
      <c r="D981" s="696">
        <v>3100</v>
      </c>
      <c r="F981" s="700" t="s">
        <v>1315</v>
      </c>
      <c r="G981" s="701">
        <v>251.4</v>
      </c>
      <c r="H981" s="12" t="s">
        <v>889</v>
      </c>
      <c r="I981" s="12" t="s">
        <v>893</v>
      </c>
      <c r="J981" s="12" t="s">
        <v>942</v>
      </c>
      <c r="K981" s="12" t="s">
        <v>899</v>
      </c>
      <c r="L981" s="12"/>
      <c r="M981" s="11"/>
      <c r="N981" s="11"/>
      <c r="O981" s="11"/>
      <c r="P981" s="11"/>
    </row>
    <row r="982" spans="1:16" x14ac:dyDescent="0.25">
      <c r="A982" s="696">
        <v>56580</v>
      </c>
      <c r="B982" s="696">
        <v>1000</v>
      </c>
      <c r="C982" s="696">
        <v>200</v>
      </c>
      <c r="D982" s="696">
        <v>1000</v>
      </c>
      <c r="F982" s="700" t="s">
        <v>1315</v>
      </c>
      <c r="G982" s="701">
        <v>3439.52</v>
      </c>
      <c r="H982" s="12" t="s">
        <v>889</v>
      </c>
      <c r="I982" s="12" t="s">
        <v>897</v>
      </c>
      <c r="J982" s="12" t="s">
        <v>894</v>
      </c>
      <c r="K982" s="12" t="s">
        <v>899</v>
      </c>
      <c r="L982" s="12"/>
      <c r="M982" s="11"/>
      <c r="N982" s="11"/>
      <c r="O982" s="11"/>
      <c r="P982" s="11"/>
    </row>
    <row r="983" spans="1:16" x14ac:dyDescent="0.25">
      <c r="A983" s="696">
        <v>56580</v>
      </c>
      <c r="B983" s="696">
        <v>1000</v>
      </c>
      <c r="C983" s="696">
        <v>200</v>
      </c>
      <c r="D983" s="696">
        <v>2100</v>
      </c>
      <c r="F983" s="700" t="s">
        <v>1315</v>
      </c>
      <c r="G983" s="701">
        <v>5431.93</v>
      </c>
      <c r="H983" s="12" t="s">
        <v>889</v>
      </c>
      <c r="I983" s="12" t="s">
        <v>897</v>
      </c>
      <c r="J983" s="12" t="s">
        <v>902</v>
      </c>
      <c r="K983" s="12" t="s">
        <v>899</v>
      </c>
      <c r="L983" s="12"/>
      <c r="M983" s="11"/>
      <c r="N983" s="11"/>
      <c r="O983" s="11"/>
      <c r="P983" s="11"/>
    </row>
    <row r="984" spans="1:16" x14ac:dyDescent="0.25">
      <c r="A984" s="696">
        <v>56580</v>
      </c>
      <c r="B984" s="696">
        <v>1000</v>
      </c>
      <c r="C984" s="696">
        <v>200</v>
      </c>
      <c r="D984" s="696">
        <v>2200</v>
      </c>
      <c r="F984" s="700" t="s">
        <v>1315</v>
      </c>
      <c r="G984" s="701">
        <v>129</v>
      </c>
      <c r="H984" s="12" t="s">
        <v>889</v>
      </c>
      <c r="I984" s="12" t="s">
        <v>897</v>
      </c>
      <c r="J984" s="12" t="s">
        <v>906</v>
      </c>
      <c r="K984" s="12" t="s">
        <v>899</v>
      </c>
      <c r="L984" s="12"/>
      <c r="M984" s="11"/>
      <c r="N984" s="11"/>
      <c r="O984" s="11"/>
      <c r="P984" s="11"/>
    </row>
    <row r="985" spans="1:16" x14ac:dyDescent="0.25">
      <c r="A985" s="696">
        <v>56580</v>
      </c>
      <c r="B985" s="696">
        <v>1000</v>
      </c>
      <c r="C985" s="696">
        <v>200</v>
      </c>
      <c r="D985" s="696">
        <v>2300</v>
      </c>
      <c r="F985" s="700" t="s">
        <v>1315</v>
      </c>
      <c r="G985" s="701">
        <v>1046.8599999999999</v>
      </c>
      <c r="H985" s="12" t="s">
        <v>889</v>
      </c>
      <c r="I985" s="12" t="s">
        <v>897</v>
      </c>
      <c r="J985" s="12" t="s">
        <v>918</v>
      </c>
      <c r="K985" s="12" t="s">
        <v>899</v>
      </c>
      <c r="L985" s="12"/>
      <c r="M985" s="11"/>
      <c r="N985" s="11"/>
      <c r="O985" s="11"/>
      <c r="P985" s="11"/>
    </row>
    <row r="986" spans="1:16" x14ac:dyDescent="0.25">
      <c r="A986" s="696">
        <v>56580</v>
      </c>
      <c r="B986" s="696">
        <v>1000</v>
      </c>
      <c r="C986" s="696">
        <v>200</v>
      </c>
      <c r="D986" s="696">
        <v>2500</v>
      </c>
      <c r="F986" s="700" t="s">
        <v>1315</v>
      </c>
      <c r="G986" s="701">
        <v>1554.51</v>
      </c>
      <c r="H986" s="12" t="s">
        <v>889</v>
      </c>
      <c r="I986" s="12" t="s">
        <v>897</v>
      </c>
      <c r="J986" s="12" t="s">
        <v>926</v>
      </c>
      <c r="K986" s="12" t="s">
        <v>899</v>
      </c>
      <c r="L986" s="12"/>
      <c r="M986" s="11"/>
      <c r="N986" s="11"/>
      <c r="O986" s="11"/>
      <c r="P986" s="11"/>
    </row>
    <row r="987" spans="1:16" x14ac:dyDescent="0.25">
      <c r="A987" s="696">
        <v>56580</v>
      </c>
      <c r="B987" s="696">
        <v>1000</v>
      </c>
      <c r="C987" s="696">
        <v>400</v>
      </c>
      <c r="D987" s="696">
        <v>2700</v>
      </c>
      <c r="F987" s="700" t="s">
        <v>1315</v>
      </c>
      <c r="G987" s="701">
        <v>71.459999999999994</v>
      </c>
      <c r="H987" s="12" t="s">
        <v>889</v>
      </c>
      <c r="I987" s="12" t="s">
        <v>913</v>
      </c>
      <c r="J987" s="12" t="s">
        <v>934</v>
      </c>
      <c r="K987" s="12" t="s">
        <v>899</v>
      </c>
      <c r="L987" s="12"/>
      <c r="M987" s="11"/>
      <c r="N987" s="11"/>
      <c r="O987" s="11"/>
      <c r="P987" s="11"/>
    </row>
    <row r="988" spans="1:16" x14ac:dyDescent="0.25">
      <c r="A988" s="696">
        <v>56581</v>
      </c>
      <c r="B988" s="696">
        <v>1000</v>
      </c>
      <c r="C988" s="696">
        <v>100</v>
      </c>
      <c r="D988" s="696">
        <v>1000</v>
      </c>
      <c r="F988" s="700" t="s">
        <v>1316</v>
      </c>
      <c r="G988" s="701">
        <v>12105.12</v>
      </c>
      <c r="H988" s="12" t="s">
        <v>889</v>
      </c>
      <c r="I988" s="12" t="s">
        <v>893</v>
      </c>
      <c r="J988" s="12" t="s">
        <v>894</v>
      </c>
      <c r="K988" s="12" t="s">
        <v>899</v>
      </c>
      <c r="L988" s="12"/>
      <c r="M988" s="11"/>
      <c r="N988" s="11"/>
      <c r="O988" s="11"/>
      <c r="P988" s="11"/>
    </row>
    <row r="989" spans="1:16" x14ac:dyDescent="0.25">
      <c r="A989" s="696">
        <v>56581</v>
      </c>
      <c r="B989" s="696">
        <v>1000</v>
      </c>
      <c r="C989" s="696">
        <v>100</v>
      </c>
      <c r="D989" s="696">
        <v>2100</v>
      </c>
      <c r="F989" s="700" t="s">
        <v>1316</v>
      </c>
      <c r="G989" s="701">
        <v>3973.36</v>
      </c>
      <c r="H989" s="12" t="s">
        <v>889</v>
      </c>
      <c r="I989" s="12" t="s">
        <v>893</v>
      </c>
      <c r="J989" s="12" t="s">
        <v>902</v>
      </c>
      <c r="K989" s="12" t="s">
        <v>899</v>
      </c>
      <c r="L989" s="12"/>
      <c r="M989" s="11"/>
      <c r="N989" s="11"/>
      <c r="O989" s="11"/>
      <c r="P989" s="11"/>
    </row>
    <row r="990" spans="1:16" x14ac:dyDescent="0.25">
      <c r="A990" s="696">
        <v>56581</v>
      </c>
      <c r="B990" s="696">
        <v>1000</v>
      </c>
      <c r="C990" s="696">
        <v>100</v>
      </c>
      <c r="D990" s="696">
        <v>2200</v>
      </c>
      <c r="F990" s="700" t="s">
        <v>1316</v>
      </c>
      <c r="G990" s="701">
        <v>6154.33</v>
      </c>
      <c r="H990" s="12" t="s">
        <v>889</v>
      </c>
      <c r="I990" s="12" t="s">
        <v>893</v>
      </c>
      <c r="J990" s="12" t="s">
        <v>906</v>
      </c>
      <c r="K990" s="12" t="s">
        <v>899</v>
      </c>
      <c r="L990" s="12"/>
      <c r="M990" s="11"/>
      <c r="N990" s="11"/>
      <c r="O990" s="11"/>
      <c r="P990" s="11"/>
    </row>
    <row r="991" spans="1:16" x14ac:dyDescent="0.25">
      <c r="A991" s="696">
        <v>56581</v>
      </c>
      <c r="B991" s="696">
        <v>1000</v>
      </c>
      <c r="C991" s="696">
        <v>100</v>
      </c>
      <c r="D991" s="696">
        <v>2300</v>
      </c>
      <c r="F991" s="700" t="s">
        <v>1316</v>
      </c>
      <c r="G991" s="701">
        <v>637.16999999999996</v>
      </c>
      <c r="H991" s="12" t="s">
        <v>889</v>
      </c>
      <c r="I991" s="12" t="s">
        <v>893</v>
      </c>
      <c r="J991" s="12" t="s">
        <v>918</v>
      </c>
      <c r="K991" s="12" t="s">
        <v>899</v>
      </c>
      <c r="L991" s="12"/>
      <c r="M991" s="11"/>
      <c r="N991" s="11"/>
      <c r="O991" s="11"/>
      <c r="P991" s="11"/>
    </row>
    <row r="992" spans="1:16" x14ac:dyDescent="0.25">
      <c r="A992" s="696">
        <v>56581</v>
      </c>
      <c r="B992" s="696">
        <v>1000</v>
      </c>
      <c r="C992" s="696">
        <v>100</v>
      </c>
      <c r="D992" s="696">
        <v>2400</v>
      </c>
      <c r="F992" s="700" t="s">
        <v>1316</v>
      </c>
      <c r="G992" s="701">
        <v>2184.84</v>
      </c>
      <c r="H992" s="12" t="s">
        <v>889</v>
      </c>
      <c r="I992" s="12" t="s">
        <v>893</v>
      </c>
      <c r="J992" s="12" t="s">
        <v>922</v>
      </c>
      <c r="K992" s="12" t="s">
        <v>899</v>
      </c>
      <c r="L992" s="12"/>
      <c r="M992" s="11"/>
      <c r="N992" s="11"/>
      <c r="O992" s="11"/>
      <c r="P992" s="11"/>
    </row>
    <row r="993" spans="1:16" x14ac:dyDescent="0.25">
      <c r="A993" s="696">
        <v>56581</v>
      </c>
      <c r="B993" s="696">
        <v>1000</v>
      </c>
      <c r="C993" s="696">
        <v>100</v>
      </c>
      <c r="D993" s="696">
        <v>2500</v>
      </c>
      <c r="F993" s="700" t="s">
        <v>1316</v>
      </c>
      <c r="G993" s="701">
        <v>10874.87</v>
      </c>
      <c r="H993" s="12" t="s">
        <v>889</v>
      </c>
      <c r="I993" s="12" t="s">
        <v>893</v>
      </c>
      <c r="J993" s="12" t="s">
        <v>926</v>
      </c>
      <c r="K993" s="12" t="s">
        <v>899</v>
      </c>
      <c r="L993" s="12"/>
      <c r="M993" s="11"/>
      <c r="N993" s="11"/>
      <c r="O993" s="11"/>
      <c r="P993" s="11"/>
    </row>
    <row r="994" spans="1:16" x14ac:dyDescent="0.25">
      <c r="A994" s="696">
        <v>56581</v>
      </c>
      <c r="B994" s="696">
        <v>1000</v>
      </c>
      <c r="C994" s="696">
        <v>100</v>
      </c>
      <c r="D994" s="696">
        <v>2510</v>
      </c>
      <c r="F994" s="700" t="s">
        <v>1316</v>
      </c>
      <c r="G994" s="701">
        <v>721.22</v>
      </c>
      <c r="H994" s="12" t="s">
        <v>889</v>
      </c>
      <c r="I994" s="12" t="s">
        <v>893</v>
      </c>
      <c r="J994" s="12" t="s">
        <v>926</v>
      </c>
      <c r="K994" s="12" t="s">
        <v>899</v>
      </c>
      <c r="L994" s="12"/>
      <c r="M994" s="11"/>
      <c r="N994" s="11"/>
      <c r="O994" s="11"/>
      <c r="P994" s="11"/>
    </row>
    <row r="995" spans="1:16" x14ac:dyDescent="0.25">
      <c r="A995" s="696">
        <v>56581</v>
      </c>
      <c r="B995" s="696">
        <v>1000</v>
      </c>
      <c r="C995" s="696">
        <v>100</v>
      </c>
      <c r="D995" s="696">
        <v>3100</v>
      </c>
      <c r="F995" s="700" t="s">
        <v>1316</v>
      </c>
      <c r="G995" s="701">
        <v>3.25</v>
      </c>
      <c r="H995" s="12" t="s">
        <v>889</v>
      </c>
      <c r="I995" s="12" t="s">
        <v>893</v>
      </c>
      <c r="J995" s="12" t="s">
        <v>942</v>
      </c>
      <c r="K995" s="12" t="s">
        <v>899</v>
      </c>
      <c r="L995" s="12"/>
      <c r="M995" s="11"/>
      <c r="N995" s="11"/>
      <c r="O995" s="11"/>
      <c r="P995" s="11"/>
    </row>
    <row r="996" spans="1:16" x14ac:dyDescent="0.25">
      <c r="A996" s="696">
        <v>56581</v>
      </c>
      <c r="B996" s="696">
        <v>1000</v>
      </c>
      <c r="C996" s="696">
        <v>200</v>
      </c>
      <c r="D996" s="696">
        <v>1000</v>
      </c>
      <c r="F996" s="700" t="s">
        <v>1316</v>
      </c>
      <c r="G996" s="701">
        <v>753.19</v>
      </c>
      <c r="H996" s="12" t="s">
        <v>889</v>
      </c>
      <c r="I996" s="12" t="s">
        <v>897</v>
      </c>
      <c r="J996" s="12" t="s">
        <v>894</v>
      </c>
      <c r="K996" s="12" t="s">
        <v>899</v>
      </c>
      <c r="L996" s="12"/>
      <c r="M996" s="11"/>
      <c r="N996" s="11"/>
      <c r="O996" s="11"/>
      <c r="P996" s="11"/>
    </row>
    <row r="997" spans="1:16" x14ac:dyDescent="0.25">
      <c r="A997" s="696">
        <v>56581</v>
      </c>
      <c r="B997" s="696">
        <v>1000</v>
      </c>
      <c r="C997" s="696">
        <v>200</v>
      </c>
      <c r="D997" s="696">
        <v>2100</v>
      </c>
      <c r="F997" s="700" t="s">
        <v>1316</v>
      </c>
      <c r="G997" s="701">
        <v>668.88</v>
      </c>
      <c r="H997" s="12" t="s">
        <v>889</v>
      </c>
      <c r="I997" s="12" t="s">
        <v>897</v>
      </c>
      <c r="J997" s="12" t="s">
        <v>902</v>
      </c>
      <c r="K997" s="12" t="s">
        <v>899</v>
      </c>
      <c r="L997" s="12"/>
      <c r="M997" s="11"/>
      <c r="N997" s="11"/>
      <c r="O997" s="11"/>
      <c r="P997" s="11"/>
    </row>
    <row r="998" spans="1:16" x14ac:dyDescent="0.25">
      <c r="A998" s="696">
        <v>56581</v>
      </c>
      <c r="B998" s="696">
        <v>1000</v>
      </c>
      <c r="C998" s="696">
        <v>200</v>
      </c>
      <c r="D998" s="696">
        <v>2200</v>
      </c>
      <c r="F998" s="700" t="s">
        <v>1316</v>
      </c>
      <c r="G998" s="701">
        <v>212.94</v>
      </c>
      <c r="H998" s="12" t="s">
        <v>889</v>
      </c>
      <c r="I998" s="12" t="s">
        <v>897</v>
      </c>
      <c r="J998" s="12" t="s">
        <v>906</v>
      </c>
      <c r="K998" s="12" t="s">
        <v>899</v>
      </c>
      <c r="L998" s="12"/>
      <c r="M998" s="11"/>
      <c r="N998" s="11"/>
      <c r="O998" s="11"/>
      <c r="P998" s="11"/>
    </row>
    <row r="999" spans="1:16" x14ac:dyDescent="0.25">
      <c r="A999" s="696">
        <v>56581</v>
      </c>
      <c r="B999" s="696">
        <v>1000</v>
      </c>
      <c r="C999" s="696">
        <v>200</v>
      </c>
      <c r="D999" s="696">
        <v>2300</v>
      </c>
      <c r="F999" s="700" t="s">
        <v>1316</v>
      </c>
      <c r="G999" s="701">
        <v>113.98</v>
      </c>
      <c r="H999" s="12" t="s">
        <v>889</v>
      </c>
      <c r="I999" s="12" t="s">
        <v>897</v>
      </c>
      <c r="J999" s="12" t="s">
        <v>918</v>
      </c>
      <c r="K999" s="12" t="s">
        <v>899</v>
      </c>
      <c r="L999" s="12"/>
      <c r="M999" s="11"/>
      <c r="N999" s="11"/>
      <c r="O999" s="11"/>
      <c r="P999" s="11"/>
    </row>
    <row r="1000" spans="1:16" x14ac:dyDescent="0.25">
      <c r="A1000" s="696">
        <v>56581</v>
      </c>
      <c r="B1000" s="696">
        <v>1000</v>
      </c>
      <c r="C1000" s="696">
        <v>200</v>
      </c>
      <c r="D1000" s="696">
        <v>2500</v>
      </c>
      <c r="F1000" s="700" t="s">
        <v>1316</v>
      </c>
      <c r="G1000" s="701">
        <v>56.8</v>
      </c>
      <c r="H1000" s="12" t="s">
        <v>889</v>
      </c>
      <c r="I1000" s="12" t="s">
        <v>897</v>
      </c>
      <c r="J1000" s="12" t="s">
        <v>926</v>
      </c>
      <c r="K1000" s="12" t="s">
        <v>899</v>
      </c>
      <c r="L1000" s="12"/>
      <c r="M1000" s="11"/>
      <c r="N1000" s="11"/>
      <c r="O1000" s="11"/>
      <c r="P1000" s="11"/>
    </row>
    <row r="1001" spans="1:16" x14ac:dyDescent="0.25">
      <c r="A1001" s="696">
        <v>56581</v>
      </c>
      <c r="B1001" s="696">
        <v>1000</v>
      </c>
      <c r="C1001" s="696">
        <v>400</v>
      </c>
      <c r="D1001" s="696">
        <v>2700</v>
      </c>
      <c r="F1001" s="700" t="s">
        <v>1316</v>
      </c>
      <c r="G1001" s="701">
        <v>35.729999999999997</v>
      </c>
      <c r="H1001" s="12" t="s">
        <v>889</v>
      </c>
      <c r="I1001" s="12" t="s">
        <v>913</v>
      </c>
      <c r="J1001" s="12" t="s">
        <v>934</v>
      </c>
      <c r="K1001" s="12" t="s">
        <v>899</v>
      </c>
      <c r="L1001" s="12"/>
      <c r="M1001" s="11"/>
      <c r="N1001" s="11"/>
      <c r="O1001" s="11"/>
      <c r="P1001" s="11"/>
    </row>
    <row r="1002" spans="1:16" x14ac:dyDescent="0.25">
      <c r="A1002" s="696">
        <v>56585</v>
      </c>
      <c r="B1002" s="696">
        <v>1534</v>
      </c>
      <c r="C1002" s="696">
        <v>400</v>
      </c>
      <c r="D1002" s="696">
        <v>2700</v>
      </c>
      <c r="F1002" s="700" t="s">
        <v>1317</v>
      </c>
      <c r="G1002" s="701">
        <v>60</v>
      </c>
      <c r="H1002" s="12" t="s">
        <v>997</v>
      </c>
      <c r="I1002" s="12" t="s">
        <v>913</v>
      </c>
      <c r="J1002" s="12" t="s">
        <v>934</v>
      </c>
      <c r="K1002" s="12" t="s">
        <v>899</v>
      </c>
      <c r="L1002" s="12"/>
      <c r="M1002" s="11"/>
      <c r="N1002" s="11"/>
      <c r="O1002" s="11"/>
      <c r="P1002" s="11"/>
    </row>
    <row r="1003" spans="1:16" x14ac:dyDescent="0.25">
      <c r="A1003" s="696">
        <v>56585</v>
      </c>
      <c r="B1003" s="696">
        <v>1710</v>
      </c>
      <c r="C1003" s="696">
        <v>100</v>
      </c>
      <c r="D1003" s="696">
        <v>1000</v>
      </c>
      <c r="F1003" s="700" t="s">
        <v>1317</v>
      </c>
      <c r="G1003" s="701">
        <v>390.35</v>
      </c>
      <c r="H1003" s="12" t="s">
        <v>997</v>
      </c>
      <c r="I1003" s="12" t="s">
        <v>893</v>
      </c>
      <c r="J1003" s="12" t="s">
        <v>894</v>
      </c>
      <c r="K1003" s="12" t="s">
        <v>899</v>
      </c>
      <c r="L1003" s="12"/>
      <c r="M1003" s="11"/>
      <c r="N1003" s="11"/>
      <c r="O1003" s="11"/>
      <c r="P1003" s="11"/>
    </row>
    <row r="1004" spans="1:16" x14ac:dyDescent="0.25">
      <c r="A1004" s="696">
        <v>56585</v>
      </c>
      <c r="B1004" s="696">
        <v>1795</v>
      </c>
      <c r="C1004" s="696">
        <v>615</v>
      </c>
      <c r="D1004" s="696">
        <v>1000</v>
      </c>
      <c r="F1004" s="700" t="s">
        <v>1317</v>
      </c>
      <c r="G1004" s="701">
        <v>40</v>
      </c>
      <c r="H1004" s="12" t="s">
        <v>997</v>
      </c>
      <c r="I1004" s="12" t="s">
        <v>937</v>
      </c>
      <c r="J1004" s="12" t="s">
        <v>894</v>
      </c>
      <c r="K1004" s="12" t="s">
        <v>899</v>
      </c>
      <c r="L1004" s="12"/>
      <c r="M1004" s="11"/>
      <c r="N1004" s="11"/>
      <c r="O1004" s="11"/>
      <c r="P1004" s="11"/>
    </row>
    <row r="1005" spans="1:16" x14ac:dyDescent="0.25">
      <c r="A1005" s="696">
        <v>56610</v>
      </c>
      <c r="B1005" s="696">
        <v>1000</v>
      </c>
      <c r="C1005" s="696">
        <v>100</v>
      </c>
      <c r="D1005" s="696">
        <v>1000</v>
      </c>
      <c r="F1005" s="700" t="s">
        <v>1318</v>
      </c>
      <c r="G1005" s="701">
        <v>9945.68</v>
      </c>
      <c r="H1005" s="12" t="s">
        <v>889</v>
      </c>
      <c r="I1005" s="12" t="s">
        <v>893</v>
      </c>
      <c r="J1005" s="12" t="s">
        <v>894</v>
      </c>
      <c r="K1005" s="12" t="s">
        <v>903</v>
      </c>
      <c r="L1005" s="12"/>
      <c r="M1005" s="11"/>
      <c r="N1005" s="11"/>
      <c r="O1005" s="11"/>
      <c r="P1005" s="11"/>
    </row>
    <row r="1006" spans="1:16" x14ac:dyDescent="0.25">
      <c r="A1006" s="696">
        <v>56610</v>
      </c>
      <c r="B1006" s="696">
        <v>1000</v>
      </c>
      <c r="C1006" s="696">
        <v>100</v>
      </c>
      <c r="D1006" s="696">
        <v>2100</v>
      </c>
      <c r="F1006" s="700" t="s">
        <v>1318</v>
      </c>
      <c r="G1006" s="701">
        <v>479.78</v>
      </c>
      <c r="H1006" s="12" t="s">
        <v>889</v>
      </c>
      <c r="I1006" s="12" t="s">
        <v>893</v>
      </c>
      <c r="J1006" s="12" t="s">
        <v>902</v>
      </c>
      <c r="K1006" s="12" t="s">
        <v>903</v>
      </c>
      <c r="L1006" s="12"/>
      <c r="M1006" s="11"/>
      <c r="N1006" s="11"/>
      <c r="O1006" s="11"/>
      <c r="P1006" s="11"/>
    </row>
    <row r="1007" spans="1:16" x14ac:dyDescent="0.25">
      <c r="A1007" s="696">
        <v>56610</v>
      </c>
      <c r="B1007" s="696">
        <v>1000</v>
      </c>
      <c r="C1007" s="696">
        <v>100</v>
      </c>
      <c r="D1007" s="696">
        <v>2200</v>
      </c>
      <c r="F1007" s="700" t="s">
        <v>1318</v>
      </c>
      <c r="G1007" s="701">
        <v>12295.55</v>
      </c>
      <c r="H1007" s="12" t="s">
        <v>889</v>
      </c>
      <c r="I1007" s="12" t="s">
        <v>893</v>
      </c>
      <c r="J1007" s="12" t="s">
        <v>906</v>
      </c>
      <c r="K1007" s="12" t="s">
        <v>903</v>
      </c>
      <c r="L1007" s="12"/>
      <c r="M1007" s="11"/>
      <c r="N1007" s="11"/>
      <c r="O1007" s="11"/>
      <c r="P1007" s="11"/>
    </row>
    <row r="1008" spans="1:16" x14ac:dyDescent="0.25">
      <c r="A1008" s="696">
        <v>56610</v>
      </c>
      <c r="B1008" s="696">
        <v>1000</v>
      </c>
      <c r="C1008" s="696">
        <v>100</v>
      </c>
      <c r="D1008" s="696">
        <v>2220</v>
      </c>
      <c r="F1008" s="700" t="s">
        <v>1318</v>
      </c>
      <c r="G1008" s="701">
        <v>7.69</v>
      </c>
      <c r="H1008" s="12" t="s">
        <v>889</v>
      </c>
      <c r="I1008" s="12" t="s">
        <v>893</v>
      </c>
      <c r="J1008" s="12" t="s">
        <v>910</v>
      </c>
      <c r="K1008" s="12" t="s">
        <v>903</v>
      </c>
      <c r="L1008" s="12"/>
      <c r="M1008" s="11"/>
      <c r="N1008" s="11"/>
      <c r="O1008" s="11"/>
      <c r="P1008" s="11"/>
    </row>
    <row r="1009" spans="1:16" x14ac:dyDescent="0.25">
      <c r="A1009" s="696">
        <v>56610</v>
      </c>
      <c r="B1009" s="696">
        <v>1000</v>
      </c>
      <c r="C1009" s="696">
        <v>100</v>
      </c>
      <c r="D1009" s="696">
        <v>2300</v>
      </c>
      <c r="F1009" s="700" t="s">
        <v>1318</v>
      </c>
      <c r="G1009" s="701">
        <v>6408.67</v>
      </c>
      <c r="H1009" s="12" t="s">
        <v>889</v>
      </c>
      <c r="I1009" s="12" t="s">
        <v>893</v>
      </c>
      <c r="J1009" s="12" t="s">
        <v>918</v>
      </c>
      <c r="K1009" s="12" t="s">
        <v>903</v>
      </c>
      <c r="L1009" s="12"/>
      <c r="M1009" s="11"/>
      <c r="N1009" s="11"/>
      <c r="O1009" s="11"/>
      <c r="P1009" s="11"/>
    </row>
    <row r="1010" spans="1:16" x14ac:dyDescent="0.25">
      <c r="A1010" s="696">
        <v>56610</v>
      </c>
      <c r="B1010" s="696">
        <v>1000</v>
      </c>
      <c r="C1010" s="696">
        <v>100</v>
      </c>
      <c r="D1010" s="696">
        <v>2310</v>
      </c>
      <c r="F1010" s="700" t="s">
        <v>1318</v>
      </c>
      <c r="G1010" s="701">
        <v>277.42</v>
      </c>
      <c r="H1010" s="12" t="s">
        <v>889</v>
      </c>
      <c r="I1010" s="12" t="s">
        <v>893</v>
      </c>
      <c r="J1010" s="12" t="s">
        <v>918</v>
      </c>
      <c r="K1010" s="12" t="s">
        <v>903</v>
      </c>
      <c r="L1010" s="12"/>
      <c r="M1010" s="11"/>
      <c r="N1010" s="11"/>
      <c r="O1010" s="11"/>
      <c r="P1010" s="11"/>
    </row>
    <row r="1011" spans="1:16" x14ac:dyDescent="0.25">
      <c r="A1011" s="696">
        <v>56610</v>
      </c>
      <c r="B1011" s="696">
        <v>1000</v>
      </c>
      <c r="C1011" s="696">
        <v>100</v>
      </c>
      <c r="D1011" s="696">
        <v>2400</v>
      </c>
      <c r="F1011" s="700" t="s">
        <v>1318</v>
      </c>
      <c r="G1011" s="701">
        <v>14764.73</v>
      </c>
      <c r="H1011" s="12" t="s">
        <v>889</v>
      </c>
      <c r="I1011" s="12" t="s">
        <v>893</v>
      </c>
      <c r="J1011" s="12" t="s">
        <v>922</v>
      </c>
      <c r="K1011" s="12" t="s">
        <v>903</v>
      </c>
      <c r="L1011" s="12"/>
      <c r="M1011" s="11"/>
      <c r="N1011" s="11"/>
      <c r="O1011" s="11"/>
      <c r="P1011" s="11"/>
    </row>
    <row r="1012" spans="1:16" x14ac:dyDescent="0.25">
      <c r="A1012" s="696">
        <v>56610</v>
      </c>
      <c r="B1012" s="696">
        <v>1000</v>
      </c>
      <c r="C1012" s="696">
        <v>100</v>
      </c>
      <c r="D1012" s="696">
        <v>2500</v>
      </c>
      <c r="F1012" s="700" t="s">
        <v>1318</v>
      </c>
      <c r="G1012" s="701">
        <v>52525.26</v>
      </c>
      <c r="H1012" s="12" t="s">
        <v>889</v>
      </c>
      <c r="I1012" s="12" t="s">
        <v>893</v>
      </c>
      <c r="J1012" s="12" t="s">
        <v>926</v>
      </c>
      <c r="K1012" s="12" t="s">
        <v>903</v>
      </c>
      <c r="L1012" s="12"/>
      <c r="M1012" s="11"/>
      <c r="N1012" s="11"/>
      <c r="O1012" s="11"/>
      <c r="P1012" s="11"/>
    </row>
    <row r="1013" spans="1:16" x14ac:dyDescent="0.25">
      <c r="A1013" s="696">
        <v>56610</v>
      </c>
      <c r="B1013" s="696">
        <v>1000</v>
      </c>
      <c r="C1013" s="696">
        <v>100</v>
      </c>
      <c r="D1013" s="696">
        <v>2510</v>
      </c>
      <c r="F1013" s="700" t="s">
        <v>1318</v>
      </c>
      <c r="G1013" s="701">
        <v>682.87</v>
      </c>
      <c r="H1013" s="12" t="s">
        <v>889</v>
      </c>
      <c r="I1013" s="12" t="s">
        <v>893</v>
      </c>
      <c r="J1013" s="12" t="s">
        <v>926</v>
      </c>
      <c r="K1013" s="12" t="s">
        <v>903</v>
      </c>
      <c r="L1013" s="12"/>
      <c r="M1013" s="11"/>
      <c r="N1013" s="11"/>
      <c r="O1013" s="11"/>
      <c r="P1013" s="11"/>
    </row>
    <row r="1014" spans="1:16" x14ac:dyDescent="0.25">
      <c r="A1014" s="696">
        <v>56610</v>
      </c>
      <c r="B1014" s="696">
        <v>1000</v>
      </c>
      <c r="C1014" s="696">
        <v>100</v>
      </c>
      <c r="D1014" s="696">
        <v>2600</v>
      </c>
      <c r="F1014" s="700" t="s">
        <v>1318</v>
      </c>
      <c r="G1014" s="701">
        <v>3924.56</v>
      </c>
      <c r="H1014" s="12" t="s">
        <v>889</v>
      </c>
      <c r="I1014" s="12" t="s">
        <v>893</v>
      </c>
      <c r="J1014" s="12" t="s">
        <v>930</v>
      </c>
      <c r="K1014" s="12" t="s">
        <v>903</v>
      </c>
      <c r="L1014" s="12"/>
      <c r="M1014" s="11"/>
      <c r="N1014" s="11"/>
      <c r="O1014" s="11"/>
      <c r="P1014" s="11"/>
    </row>
    <row r="1015" spans="1:16" x14ac:dyDescent="0.25">
      <c r="A1015" s="696">
        <v>56610</v>
      </c>
      <c r="B1015" s="696">
        <v>1000</v>
      </c>
      <c r="C1015" s="696">
        <v>100</v>
      </c>
      <c r="D1015" s="696">
        <v>3100</v>
      </c>
      <c r="F1015" s="700" t="s">
        <v>1318</v>
      </c>
      <c r="G1015" s="701">
        <v>351.94</v>
      </c>
      <c r="H1015" s="12" t="s">
        <v>889</v>
      </c>
      <c r="I1015" s="12" t="s">
        <v>893</v>
      </c>
      <c r="J1015" s="12" t="s">
        <v>942</v>
      </c>
      <c r="K1015" s="12" t="s">
        <v>903</v>
      </c>
      <c r="L1015" s="12"/>
      <c r="M1015" s="11"/>
      <c r="N1015" s="11"/>
      <c r="O1015" s="11"/>
      <c r="P1015" s="11"/>
    </row>
    <row r="1016" spans="1:16" x14ac:dyDescent="0.25">
      <c r="A1016" s="696">
        <v>56610</v>
      </c>
      <c r="B1016" s="696">
        <v>1000</v>
      </c>
      <c r="C1016" s="696">
        <v>200</v>
      </c>
      <c r="D1016" s="696">
        <v>2100</v>
      </c>
      <c r="F1016" s="700" t="s">
        <v>1318</v>
      </c>
      <c r="G1016" s="701">
        <v>607.78</v>
      </c>
      <c r="H1016" s="12" t="s">
        <v>889</v>
      </c>
      <c r="I1016" s="12" t="s">
        <v>897</v>
      </c>
      <c r="J1016" s="12" t="s">
        <v>902</v>
      </c>
      <c r="K1016" s="12" t="s">
        <v>903</v>
      </c>
      <c r="L1016" s="12"/>
      <c r="M1016" s="11"/>
      <c r="N1016" s="11"/>
      <c r="O1016" s="11"/>
      <c r="P1016" s="11"/>
    </row>
    <row r="1017" spans="1:16" x14ac:dyDescent="0.25">
      <c r="A1017" s="696">
        <v>56610</v>
      </c>
      <c r="B1017" s="696">
        <v>1327</v>
      </c>
      <c r="C1017" s="696">
        <v>100</v>
      </c>
      <c r="D1017" s="696">
        <v>2100</v>
      </c>
      <c r="F1017" s="700" t="s">
        <v>1318</v>
      </c>
      <c r="G1017" s="701">
        <v>57.32</v>
      </c>
      <c r="H1017" s="12" t="s">
        <v>968</v>
      </c>
      <c r="I1017" s="12" t="s">
        <v>893</v>
      </c>
      <c r="J1017" s="12" t="s">
        <v>902</v>
      </c>
      <c r="K1017" s="12" t="s">
        <v>903</v>
      </c>
      <c r="L1017" s="12"/>
      <c r="M1017" s="11"/>
      <c r="N1017" s="11"/>
      <c r="O1017" s="11"/>
      <c r="P1017" s="11"/>
    </row>
    <row r="1018" spans="1:16" x14ac:dyDescent="0.25">
      <c r="A1018" s="696">
        <v>56610</v>
      </c>
      <c r="B1018" s="696">
        <v>1327</v>
      </c>
      <c r="C1018" s="696">
        <v>199</v>
      </c>
      <c r="D1018" s="696">
        <v>2100</v>
      </c>
      <c r="F1018" s="700" t="s">
        <v>1318</v>
      </c>
      <c r="G1018" s="701">
        <v>14.94</v>
      </c>
      <c r="H1018" s="703" t="s">
        <v>968</v>
      </c>
      <c r="I1018" s="12" t="s">
        <v>893</v>
      </c>
      <c r="J1018" s="12" t="s">
        <v>902</v>
      </c>
      <c r="K1018" s="12" t="s">
        <v>903</v>
      </c>
      <c r="L1018" s="12"/>
      <c r="M1018" s="11"/>
      <c r="N1018" s="11"/>
      <c r="O1018" s="11"/>
      <c r="P1018" s="11"/>
    </row>
    <row r="1019" spans="1:16" x14ac:dyDescent="0.25">
      <c r="A1019" s="696">
        <v>56610</v>
      </c>
      <c r="B1019" s="696">
        <v>1531</v>
      </c>
      <c r="C1019" s="696">
        <v>100</v>
      </c>
      <c r="D1019" s="696">
        <v>2500</v>
      </c>
      <c r="F1019" s="700" t="s">
        <v>1318</v>
      </c>
      <c r="G1019" s="701">
        <v>5.07</v>
      </c>
      <c r="H1019" s="12" t="s">
        <v>997</v>
      </c>
      <c r="I1019" s="12" t="s">
        <v>893</v>
      </c>
      <c r="J1019" s="12" t="s">
        <v>926</v>
      </c>
      <c r="K1019" s="12" t="s">
        <v>903</v>
      </c>
      <c r="L1019" s="12"/>
      <c r="M1019" s="11"/>
      <c r="N1019" s="11"/>
      <c r="O1019" s="11"/>
      <c r="P1019" s="11"/>
    </row>
    <row r="1020" spans="1:16" x14ac:dyDescent="0.25">
      <c r="A1020" s="696">
        <v>56610</v>
      </c>
      <c r="B1020" s="696">
        <v>1532</v>
      </c>
      <c r="C1020" s="696">
        <v>100</v>
      </c>
      <c r="D1020" s="696">
        <v>1000</v>
      </c>
      <c r="F1020" s="700" t="s">
        <v>1318</v>
      </c>
      <c r="G1020" s="701">
        <v>12492.95</v>
      </c>
      <c r="H1020" s="12" t="s">
        <v>997</v>
      </c>
      <c r="I1020" s="12" t="s">
        <v>893</v>
      </c>
      <c r="J1020" s="12" t="s">
        <v>894</v>
      </c>
      <c r="K1020" s="12" t="s">
        <v>903</v>
      </c>
      <c r="L1020" s="12"/>
      <c r="M1020" s="11"/>
      <c r="N1020" s="11"/>
      <c r="O1020" s="11"/>
      <c r="P1020" s="11"/>
    </row>
    <row r="1021" spans="1:16" x14ac:dyDescent="0.25">
      <c r="A1021" s="696">
        <v>56610</v>
      </c>
      <c r="B1021" s="696">
        <v>1532</v>
      </c>
      <c r="C1021" s="696">
        <v>100</v>
      </c>
      <c r="D1021" s="696">
        <v>2100</v>
      </c>
      <c r="F1021" s="700" t="s">
        <v>1318</v>
      </c>
      <c r="G1021" s="701">
        <v>373.11</v>
      </c>
      <c r="H1021" s="12" t="s">
        <v>997</v>
      </c>
      <c r="I1021" s="12" t="s">
        <v>893</v>
      </c>
      <c r="J1021" s="12" t="s">
        <v>902</v>
      </c>
      <c r="K1021" s="12" t="s">
        <v>903</v>
      </c>
      <c r="L1021" s="12"/>
      <c r="M1021" s="11"/>
      <c r="N1021" s="11"/>
      <c r="O1021" s="11"/>
      <c r="P1021" s="11"/>
    </row>
    <row r="1022" spans="1:16" x14ac:dyDescent="0.25">
      <c r="A1022" s="696">
        <v>56610</v>
      </c>
      <c r="B1022" s="696">
        <v>1756</v>
      </c>
      <c r="C1022" s="696">
        <v>615</v>
      </c>
      <c r="D1022" s="696">
        <v>1000</v>
      </c>
      <c r="F1022" s="700" t="s">
        <v>1318</v>
      </c>
      <c r="G1022" s="701">
        <v>1953</v>
      </c>
      <c r="H1022" s="12" t="s">
        <v>997</v>
      </c>
      <c r="I1022" s="12" t="s">
        <v>937</v>
      </c>
      <c r="J1022" s="12" t="s">
        <v>894</v>
      </c>
      <c r="K1022" s="12" t="s">
        <v>903</v>
      </c>
      <c r="L1022" s="12"/>
      <c r="M1022" s="11"/>
      <c r="N1022" s="11"/>
      <c r="O1022" s="11"/>
      <c r="P1022" s="11"/>
    </row>
    <row r="1023" spans="1:16" x14ac:dyDescent="0.25">
      <c r="A1023" s="696">
        <v>56610</v>
      </c>
      <c r="B1023" s="696">
        <v>1795</v>
      </c>
      <c r="C1023" s="696">
        <v>615</v>
      </c>
      <c r="D1023" s="696">
        <v>1000</v>
      </c>
      <c r="F1023" s="700" t="s">
        <v>1318</v>
      </c>
      <c r="G1023" s="701">
        <v>85</v>
      </c>
      <c r="H1023" s="12" t="s">
        <v>997</v>
      </c>
      <c r="I1023" s="12" t="s">
        <v>937</v>
      </c>
      <c r="J1023" s="12" t="s">
        <v>894</v>
      </c>
      <c r="K1023" s="12" t="s">
        <v>903</v>
      </c>
      <c r="L1023" s="12"/>
      <c r="M1023" s="11"/>
      <c r="N1023" s="11"/>
      <c r="O1023" s="11"/>
      <c r="P1023" s="11"/>
    </row>
    <row r="1024" spans="1:16" x14ac:dyDescent="0.25">
      <c r="A1024" s="696">
        <v>56610</v>
      </c>
      <c r="B1024" s="696">
        <v>1910</v>
      </c>
      <c r="C1024" s="696">
        <v>615</v>
      </c>
      <c r="D1024" s="696">
        <v>1000</v>
      </c>
      <c r="F1024" s="700" t="s">
        <v>1318</v>
      </c>
      <c r="G1024" s="701">
        <v>1686.36</v>
      </c>
      <c r="H1024" s="12" t="s">
        <v>997</v>
      </c>
      <c r="I1024" s="12" t="s">
        <v>937</v>
      </c>
      <c r="J1024" s="12" t="s">
        <v>894</v>
      </c>
      <c r="K1024" s="12" t="s">
        <v>903</v>
      </c>
      <c r="L1024" s="12"/>
      <c r="M1024" s="11"/>
      <c r="N1024" s="11"/>
      <c r="O1024" s="11"/>
      <c r="P1024" s="11"/>
    </row>
    <row r="1025" spans="1:16" x14ac:dyDescent="0.25">
      <c r="A1025" s="696">
        <v>56610</v>
      </c>
      <c r="B1025" s="696">
        <v>1910</v>
      </c>
      <c r="C1025" s="696">
        <v>630</v>
      </c>
      <c r="D1025" s="696">
        <v>1000</v>
      </c>
      <c r="F1025" s="700" t="s">
        <v>1318</v>
      </c>
      <c r="G1025" s="701">
        <v>482.68</v>
      </c>
      <c r="H1025" s="12" t="s">
        <v>997</v>
      </c>
      <c r="I1025" s="12" t="s">
        <v>945</v>
      </c>
      <c r="J1025" s="12" t="s">
        <v>894</v>
      </c>
      <c r="K1025" s="12" t="s">
        <v>903</v>
      </c>
      <c r="L1025" s="12"/>
      <c r="M1025" s="11"/>
      <c r="N1025" s="11"/>
      <c r="O1025" s="11"/>
      <c r="P1025" s="11"/>
    </row>
    <row r="1026" spans="1:16" x14ac:dyDescent="0.25">
      <c r="A1026" s="696">
        <v>56614</v>
      </c>
      <c r="B1026" s="696">
        <v>1000</v>
      </c>
      <c r="C1026" s="696">
        <v>100</v>
      </c>
      <c r="D1026" s="696">
        <v>1000</v>
      </c>
      <c r="F1026" s="700" t="s">
        <v>1319</v>
      </c>
      <c r="G1026" s="701">
        <v>3890</v>
      </c>
      <c r="H1026" s="12" t="s">
        <v>889</v>
      </c>
      <c r="I1026" s="12" t="s">
        <v>893</v>
      </c>
      <c r="J1026" s="12" t="s">
        <v>894</v>
      </c>
      <c r="K1026" s="12" t="s">
        <v>903</v>
      </c>
      <c r="L1026" s="12"/>
      <c r="M1026" s="11"/>
      <c r="N1026" s="11"/>
      <c r="O1026" s="11"/>
      <c r="P1026" s="11"/>
    </row>
    <row r="1027" spans="1:16" x14ac:dyDescent="0.25">
      <c r="A1027" s="696">
        <v>56614</v>
      </c>
      <c r="B1027" s="696">
        <v>1000</v>
      </c>
      <c r="C1027" s="696">
        <v>200</v>
      </c>
      <c r="D1027" s="696">
        <v>2100</v>
      </c>
      <c r="F1027" s="700" t="s">
        <v>1319</v>
      </c>
      <c r="G1027" s="701">
        <v>24792.86</v>
      </c>
      <c r="H1027" s="12" t="s">
        <v>889</v>
      </c>
      <c r="I1027" s="12" t="s">
        <v>897</v>
      </c>
      <c r="J1027" s="12" t="s">
        <v>902</v>
      </c>
      <c r="K1027" s="12" t="s">
        <v>903</v>
      </c>
      <c r="L1027" s="12"/>
      <c r="M1027" s="11"/>
      <c r="N1027" s="11"/>
      <c r="O1027" s="11"/>
      <c r="P1027" s="11"/>
    </row>
    <row r="1028" spans="1:16" x14ac:dyDescent="0.25">
      <c r="A1028" s="696">
        <v>56614</v>
      </c>
      <c r="B1028" s="696">
        <v>1000</v>
      </c>
      <c r="C1028" s="696">
        <v>240</v>
      </c>
      <c r="D1028" s="696">
        <v>1000</v>
      </c>
      <c r="F1028" s="700" t="s">
        <v>1319</v>
      </c>
      <c r="G1028" s="701">
        <v>942.17</v>
      </c>
      <c r="H1028" s="12" t="s">
        <v>889</v>
      </c>
      <c r="I1028" s="12" t="s">
        <v>897</v>
      </c>
      <c r="J1028" s="12" t="s">
        <v>894</v>
      </c>
      <c r="K1028" s="12" t="s">
        <v>903</v>
      </c>
      <c r="L1028" s="12"/>
      <c r="M1028" s="11"/>
      <c r="N1028" s="11"/>
      <c r="O1028" s="11"/>
      <c r="P1028" s="11"/>
    </row>
    <row r="1029" spans="1:16" x14ac:dyDescent="0.25">
      <c r="A1029" s="696">
        <v>56614</v>
      </c>
      <c r="B1029" s="696">
        <v>1000</v>
      </c>
      <c r="C1029" s="696">
        <v>240</v>
      </c>
      <c r="D1029" s="696">
        <v>2100</v>
      </c>
      <c r="F1029" s="700" t="s">
        <v>1319</v>
      </c>
      <c r="G1029" s="701">
        <v>2338.64</v>
      </c>
      <c r="H1029" s="12" t="s">
        <v>889</v>
      </c>
      <c r="I1029" s="12" t="s">
        <v>897</v>
      </c>
      <c r="J1029" s="12" t="s">
        <v>902</v>
      </c>
      <c r="K1029" s="12" t="s">
        <v>903</v>
      </c>
      <c r="L1029" s="12"/>
      <c r="M1029" s="11"/>
      <c r="N1029" s="11"/>
      <c r="O1029" s="11"/>
      <c r="P1029" s="11"/>
    </row>
    <row r="1030" spans="1:16" x14ac:dyDescent="0.25">
      <c r="A1030" s="696">
        <v>56622</v>
      </c>
      <c r="B1030" s="696">
        <v>1000</v>
      </c>
      <c r="C1030" s="696">
        <v>100</v>
      </c>
      <c r="D1030" s="696">
        <v>2600</v>
      </c>
      <c r="F1030" s="700" t="s">
        <v>1320</v>
      </c>
      <c r="G1030" s="701">
        <v>529.08000000000004</v>
      </c>
      <c r="H1030" s="12" t="s">
        <v>889</v>
      </c>
      <c r="I1030" s="12" t="s">
        <v>893</v>
      </c>
      <c r="J1030" s="12" t="s">
        <v>930</v>
      </c>
      <c r="K1030" s="12" t="s">
        <v>903</v>
      </c>
      <c r="L1030" s="12"/>
      <c r="M1030" s="11"/>
      <c r="N1030" s="11"/>
      <c r="O1030" s="11"/>
      <c r="P1030" s="11"/>
    </row>
    <row r="1031" spans="1:16" x14ac:dyDescent="0.25">
      <c r="A1031" s="696">
        <v>56640</v>
      </c>
      <c r="B1031" s="696">
        <v>1000</v>
      </c>
      <c r="C1031" s="696">
        <v>100</v>
      </c>
      <c r="D1031" s="696">
        <v>1000</v>
      </c>
      <c r="F1031" s="700" t="s">
        <v>1321</v>
      </c>
      <c r="G1031" s="701">
        <v>278455.01</v>
      </c>
      <c r="H1031" s="12" t="s">
        <v>889</v>
      </c>
      <c r="I1031" s="12" t="s">
        <v>893</v>
      </c>
      <c r="J1031" s="12" t="s">
        <v>894</v>
      </c>
      <c r="K1031" s="12" t="s">
        <v>903</v>
      </c>
      <c r="L1031" s="12"/>
      <c r="M1031" s="11"/>
      <c r="N1031" s="11"/>
      <c r="O1031" s="11"/>
      <c r="P1031" s="11"/>
    </row>
    <row r="1032" spans="1:16" x14ac:dyDescent="0.25">
      <c r="A1032" s="696">
        <v>56640</v>
      </c>
      <c r="B1032" s="696">
        <v>1000</v>
      </c>
      <c r="C1032" s="696">
        <v>100</v>
      </c>
      <c r="D1032" s="696">
        <v>2100</v>
      </c>
      <c r="F1032" s="700" t="s">
        <v>1321</v>
      </c>
      <c r="G1032" s="701">
        <v>255.95</v>
      </c>
      <c r="H1032" s="12" t="s">
        <v>889</v>
      </c>
      <c r="I1032" s="12" t="s">
        <v>893</v>
      </c>
      <c r="J1032" s="12" t="s">
        <v>902</v>
      </c>
      <c r="K1032" s="12" t="s">
        <v>903</v>
      </c>
      <c r="L1032" s="12"/>
      <c r="M1032" s="11"/>
      <c r="N1032" s="11"/>
      <c r="O1032" s="11"/>
      <c r="P1032" s="11"/>
    </row>
    <row r="1033" spans="1:16" x14ac:dyDescent="0.25">
      <c r="A1033" s="696">
        <v>56640</v>
      </c>
      <c r="B1033" s="696">
        <v>1000</v>
      </c>
      <c r="C1033" s="696">
        <v>100</v>
      </c>
      <c r="D1033" s="696">
        <v>2200</v>
      </c>
      <c r="F1033" s="700" t="s">
        <v>1321</v>
      </c>
      <c r="G1033" s="701">
        <v>33.32</v>
      </c>
      <c r="H1033" s="12" t="s">
        <v>889</v>
      </c>
      <c r="I1033" s="12" t="s">
        <v>893</v>
      </c>
      <c r="J1033" s="12" t="s">
        <v>906</v>
      </c>
      <c r="K1033" s="12" t="s">
        <v>903</v>
      </c>
      <c r="L1033" s="12"/>
      <c r="M1033" s="11"/>
      <c r="N1033" s="11"/>
      <c r="O1033" s="11"/>
      <c r="P1033" s="11"/>
    </row>
    <row r="1034" spans="1:16" x14ac:dyDescent="0.25">
      <c r="A1034" s="696">
        <v>56640</v>
      </c>
      <c r="B1034" s="696">
        <v>1000</v>
      </c>
      <c r="C1034" s="696">
        <v>200</v>
      </c>
      <c r="D1034" s="696">
        <v>2100</v>
      </c>
      <c r="F1034" s="700" t="s">
        <v>1321</v>
      </c>
      <c r="G1034" s="701">
        <v>3283.21</v>
      </c>
      <c r="H1034" s="12" t="s">
        <v>889</v>
      </c>
      <c r="I1034" s="12" t="s">
        <v>897</v>
      </c>
      <c r="J1034" s="12" t="s">
        <v>902</v>
      </c>
      <c r="K1034" s="12" t="s">
        <v>903</v>
      </c>
      <c r="L1034" s="12"/>
      <c r="M1034" s="11"/>
      <c r="N1034" s="11"/>
      <c r="O1034" s="11"/>
      <c r="P1034" s="11"/>
    </row>
    <row r="1035" spans="1:16" x14ac:dyDescent="0.25">
      <c r="A1035" s="696">
        <v>56640</v>
      </c>
      <c r="B1035" s="696">
        <v>1020</v>
      </c>
      <c r="C1035" s="696">
        <v>100</v>
      </c>
      <c r="D1035" s="696">
        <v>1000</v>
      </c>
      <c r="F1035" s="700" t="s">
        <v>1321</v>
      </c>
      <c r="G1035" s="701">
        <v>265141.84000000003</v>
      </c>
      <c r="H1035" s="12" t="s">
        <v>892</v>
      </c>
      <c r="I1035" s="12" t="s">
        <v>893</v>
      </c>
      <c r="J1035" s="12" t="s">
        <v>894</v>
      </c>
      <c r="K1035" s="12" t="s">
        <v>903</v>
      </c>
      <c r="L1035" s="12"/>
      <c r="M1035" s="11"/>
      <c r="N1035" s="11"/>
      <c r="O1035" s="11"/>
      <c r="P1035" s="11"/>
    </row>
    <row r="1036" spans="1:16" x14ac:dyDescent="0.25">
      <c r="A1036" s="696">
        <v>56640</v>
      </c>
      <c r="B1036" s="696">
        <v>1130</v>
      </c>
      <c r="C1036" s="696">
        <v>100</v>
      </c>
      <c r="D1036" s="696">
        <v>1000</v>
      </c>
      <c r="F1036" s="700" t="s">
        <v>1321</v>
      </c>
      <c r="G1036" s="701">
        <v>24365</v>
      </c>
      <c r="H1036" s="12" t="s">
        <v>904</v>
      </c>
      <c r="I1036" s="12" t="s">
        <v>893</v>
      </c>
      <c r="J1036" s="12" t="s">
        <v>894</v>
      </c>
      <c r="K1036" s="12" t="s">
        <v>903</v>
      </c>
      <c r="L1036" s="12"/>
      <c r="M1036" s="11"/>
      <c r="N1036" s="11"/>
      <c r="O1036" s="11"/>
      <c r="P1036" s="11"/>
    </row>
    <row r="1037" spans="1:16" x14ac:dyDescent="0.25">
      <c r="A1037" s="696">
        <v>56640</v>
      </c>
      <c r="B1037" s="696">
        <v>1322</v>
      </c>
      <c r="C1037" s="696">
        <v>100</v>
      </c>
      <c r="D1037" s="696">
        <v>1000</v>
      </c>
      <c r="F1037" s="700" t="s">
        <v>1321</v>
      </c>
      <c r="G1037" s="701">
        <v>152604</v>
      </c>
      <c r="H1037" s="12" t="s">
        <v>968</v>
      </c>
      <c r="I1037" s="12" t="s">
        <v>893</v>
      </c>
      <c r="J1037" s="12" t="s">
        <v>894</v>
      </c>
      <c r="K1037" s="12" t="s">
        <v>903</v>
      </c>
      <c r="L1037" s="12"/>
      <c r="M1037" s="11"/>
      <c r="N1037" s="11"/>
      <c r="O1037" s="11"/>
      <c r="P1037" s="11"/>
    </row>
    <row r="1038" spans="1:16" x14ac:dyDescent="0.25">
      <c r="A1038" s="696">
        <v>56642</v>
      </c>
      <c r="B1038" s="696">
        <v>1000</v>
      </c>
      <c r="C1038" s="696">
        <v>100</v>
      </c>
      <c r="D1038" s="696">
        <v>1000</v>
      </c>
      <c r="F1038" s="700" t="s">
        <v>1322</v>
      </c>
      <c r="G1038" s="701">
        <v>89571.56</v>
      </c>
      <c r="H1038" s="12" t="s">
        <v>889</v>
      </c>
      <c r="I1038" s="12" t="s">
        <v>893</v>
      </c>
      <c r="J1038" s="12" t="s">
        <v>894</v>
      </c>
      <c r="K1038" s="12" t="s">
        <v>903</v>
      </c>
      <c r="L1038" s="12"/>
      <c r="M1038" s="11"/>
      <c r="N1038" s="11"/>
      <c r="O1038" s="11"/>
      <c r="P1038" s="11"/>
    </row>
    <row r="1039" spans="1:16" x14ac:dyDescent="0.25">
      <c r="A1039" s="696">
        <v>56650</v>
      </c>
      <c r="B1039" s="696">
        <v>1000</v>
      </c>
      <c r="C1039" s="696">
        <v>100</v>
      </c>
      <c r="D1039" s="696">
        <v>1000</v>
      </c>
      <c r="F1039" s="700" t="s">
        <v>1323</v>
      </c>
      <c r="G1039" s="701">
        <v>1019.09</v>
      </c>
      <c r="H1039" s="12" t="s">
        <v>889</v>
      </c>
      <c r="I1039" s="12" t="s">
        <v>893</v>
      </c>
      <c r="J1039" s="12" t="s">
        <v>894</v>
      </c>
      <c r="K1039" s="12" t="s">
        <v>903</v>
      </c>
      <c r="L1039" s="12"/>
      <c r="M1039" s="11"/>
      <c r="N1039" s="11"/>
      <c r="O1039" s="11"/>
      <c r="P1039" s="11"/>
    </row>
    <row r="1040" spans="1:16" x14ac:dyDescent="0.25">
      <c r="A1040" s="696">
        <v>56650</v>
      </c>
      <c r="B1040" s="696">
        <v>1000</v>
      </c>
      <c r="C1040" s="696">
        <v>100</v>
      </c>
      <c r="D1040" s="696">
        <v>2300</v>
      </c>
      <c r="F1040" s="700" t="s">
        <v>1323</v>
      </c>
      <c r="G1040" s="701">
        <v>29.88</v>
      </c>
      <c r="H1040" s="12" t="s">
        <v>889</v>
      </c>
      <c r="I1040" s="12" t="s">
        <v>893</v>
      </c>
      <c r="J1040" s="12" t="s">
        <v>918</v>
      </c>
      <c r="K1040" s="12" t="s">
        <v>903</v>
      </c>
      <c r="L1040" s="12"/>
      <c r="M1040" s="11"/>
      <c r="N1040" s="11"/>
      <c r="O1040" s="11"/>
      <c r="P1040" s="11"/>
    </row>
    <row r="1041" spans="1:16" x14ac:dyDescent="0.25">
      <c r="A1041" s="696">
        <v>56650</v>
      </c>
      <c r="B1041" s="696">
        <v>1000</v>
      </c>
      <c r="C1041" s="696">
        <v>100</v>
      </c>
      <c r="D1041" s="696">
        <v>2500</v>
      </c>
      <c r="F1041" s="700" t="s">
        <v>1323</v>
      </c>
      <c r="G1041" s="701">
        <v>421.35</v>
      </c>
      <c r="H1041" s="12" t="s">
        <v>889</v>
      </c>
      <c r="I1041" s="12" t="s">
        <v>893</v>
      </c>
      <c r="J1041" s="12" t="s">
        <v>926</v>
      </c>
      <c r="K1041" s="12" t="s">
        <v>903</v>
      </c>
      <c r="L1041" s="12"/>
      <c r="M1041" s="11"/>
      <c r="N1041" s="11"/>
      <c r="O1041" s="11"/>
      <c r="P1041" s="11"/>
    </row>
    <row r="1042" spans="1:16" x14ac:dyDescent="0.25">
      <c r="A1042" s="696">
        <v>56650</v>
      </c>
      <c r="B1042" s="696">
        <v>1000</v>
      </c>
      <c r="C1042" s="696">
        <v>200</v>
      </c>
      <c r="D1042" s="696">
        <v>2100</v>
      </c>
      <c r="F1042" s="700" t="s">
        <v>1323</v>
      </c>
      <c r="G1042" s="701">
        <v>86.87</v>
      </c>
      <c r="H1042" s="12" t="s">
        <v>889</v>
      </c>
      <c r="I1042" s="12" t="s">
        <v>897</v>
      </c>
      <c r="J1042" s="12" t="s">
        <v>902</v>
      </c>
      <c r="K1042" s="12" t="s">
        <v>903</v>
      </c>
      <c r="L1042" s="12"/>
      <c r="M1042" s="11"/>
      <c r="N1042" s="11"/>
      <c r="O1042" s="11"/>
      <c r="P1042" s="11"/>
    </row>
    <row r="1043" spans="1:16" x14ac:dyDescent="0.25">
      <c r="A1043" s="696">
        <v>56699</v>
      </c>
      <c r="B1043" s="696">
        <v>1000</v>
      </c>
      <c r="C1043" s="696">
        <v>100</v>
      </c>
      <c r="D1043" s="696">
        <v>1000</v>
      </c>
      <c r="F1043" s="700" t="s">
        <v>1324</v>
      </c>
      <c r="G1043" s="701">
        <v>35094.57</v>
      </c>
      <c r="H1043" s="12" t="s">
        <v>889</v>
      </c>
      <c r="I1043" s="12" t="s">
        <v>893</v>
      </c>
      <c r="J1043" s="12" t="s">
        <v>894</v>
      </c>
      <c r="K1043" s="12" t="s">
        <v>903</v>
      </c>
      <c r="L1043" s="12"/>
      <c r="M1043" s="11"/>
      <c r="N1043" s="11"/>
      <c r="O1043" s="11"/>
      <c r="P1043" s="11"/>
    </row>
    <row r="1044" spans="1:16" x14ac:dyDescent="0.25">
      <c r="A1044" s="696">
        <v>56699</v>
      </c>
      <c r="B1044" s="696">
        <v>1000</v>
      </c>
      <c r="C1044" s="696">
        <v>100</v>
      </c>
      <c r="D1044" s="696">
        <v>2100</v>
      </c>
      <c r="F1044" s="700" t="s">
        <v>1324</v>
      </c>
      <c r="G1044" s="701">
        <v>935.99</v>
      </c>
      <c r="H1044" s="12" t="s">
        <v>889</v>
      </c>
      <c r="I1044" s="12" t="s">
        <v>893</v>
      </c>
      <c r="J1044" s="12" t="s">
        <v>902</v>
      </c>
      <c r="K1044" s="12" t="s">
        <v>903</v>
      </c>
      <c r="L1044" s="12"/>
      <c r="M1044" s="11"/>
      <c r="N1044" s="11"/>
      <c r="O1044" s="11"/>
      <c r="P1044" s="11"/>
    </row>
    <row r="1045" spans="1:16" x14ac:dyDescent="0.25">
      <c r="A1045" s="696">
        <v>56699</v>
      </c>
      <c r="B1045" s="696">
        <v>1000</v>
      </c>
      <c r="C1045" s="696">
        <v>100</v>
      </c>
      <c r="D1045" s="696">
        <v>2500</v>
      </c>
      <c r="F1045" s="700" t="s">
        <v>1324</v>
      </c>
      <c r="G1045" s="701">
        <v>1260.18</v>
      </c>
      <c r="H1045" s="12" t="s">
        <v>889</v>
      </c>
      <c r="I1045" s="12" t="s">
        <v>893</v>
      </c>
      <c r="J1045" s="12" t="s">
        <v>926</v>
      </c>
      <c r="K1045" s="12" t="s">
        <v>903</v>
      </c>
      <c r="L1045" s="12"/>
      <c r="M1045" s="11"/>
      <c r="N1045" s="11"/>
      <c r="O1045" s="11"/>
      <c r="P1045" s="11"/>
    </row>
    <row r="1046" spans="1:16" x14ac:dyDescent="0.25">
      <c r="A1046" s="696">
        <v>56699</v>
      </c>
      <c r="B1046" s="696">
        <v>1000</v>
      </c>
      <c r="C1046" s="696">
        <v>100</v>
      </c>
      <c r="D1046" s="696">
        <v>2600</v>
      </c>
      <c r="F1046" s="700" t="s">
        <v>1324</v>
      </c>
      <c r="G1046" s="701">
        <v>368.17</v>
      </c>
      <c r="H1046" s="12" t="s">
        <v>889</v>
      </c>
      <c r="I1046" s="12" t="s">
        <v>893</v>
      </c>
      <c r="J1046" s="12" t="s">
        <v>930</v>
      </c>
      <c r="K1046" s="12" t="s">
        <v>903</v>
      </c>
      <c r="L1046" s="12"/>
      <c r="M1046" s="11"/>
      <c r="N1046" s="11"/>
      <c r="O1046" s="11"/>
      <c r="P1046" s="11"/>
    </row>
    <row r="1047" spans="1:16" x14ac:dyDescent="0.25">
      <c r="A1047" s="696">
        <v>56699</v>
      </c>
      <c r="B1047" s="696">
        <v>1000</v>
      </c>
      <c r="C1047" s="696">
        <v>200</v>
      </c>
      <c r="D1047" s="696">
        <v>1000</v>
      </c>
      <c r="F1047" s="700" t="s">
        <v>1324</v>
      </c>
      <c r="G1047" s="701">
        <v>1718.92</v>
      </c>
      <c r="H1047" s="12" t="s">
        <v>889</v>
      </c>
      <c r="I1047" s="12" t="s">
        <v>897</v>
      </c>
      <c r="J1047" s="12" t="s">
        <v>894</v>
      </c>
      <c r="K1047" s="12" t="s">
        <v>903</v>
      </c>
      <c r="L1047" s="12"/>
      <c r="M1047" s="11"/>
      <c r="N1047" s="11"/>
      <c r="O1047" s="11"/>
      <c r="P1047" s="11"/>
    </row>
    <row r="1048" spans="1:16" x14ac:dyDescent="0.25">
      <c r="A1048" s="696">
        <v>56740</v>
      </c>
      <c r="B1048" s="696">
        <v>1000</v>
      </c>
      <c r="C1048" s="696">
        <v>100</v>
      </c>
      <c r="D1048" s="696">
        <v>2500</v>
      </c>
      <c r="F1048" s="700" t="s">
        <v>1325</v>
      </c>
      <c r="G1048" s="701">
        <v>3039513.24</v>
      </c>
      <c r="H1048" s="12" t="s">
        <v>889</v>
      </c>
      <c r="I1048" s="12" t="s">
        <v>893</v>
      </c>
      <c r="J1048" s="12" t="s">
        <v>926</v>
      </c>
      <c r="K1048" s="12" t="s">
        <v>907</v>
      </c>
      <c r="L1048" s="12"/>
      <c r="M1048" s="11"/>
      <c r="N1048" s="11"/>
      <c r="O1048" s="11"/>
      <c r="P1048" s="11"/>
    </row>
    <row r="1049" spans="1:16" x14ac:dyDescent="0.25">
      <c r="A1049" s="696">
        <v>56810</v>
      </c>
      <c r="B1049" s="696">
        <v>1000</v>
      </c>
      <c r="C1049" s="696">
        <v>100</v>
      </c>
      <c r="D1049" s="696">
        <v>1000</v>
      </c>
      <c r="F1049" s="700" t="s">
        <v>1326</v>
      </c>
      <c r="G1049" s="701">
        <v>6158.34</v>
      </c>
      <c r="H1049" s="12" t="s">
        <v>889</v>
      </c>
      <c r="I1049" s="12" t="s">
        <v>893</v>
      </c>
      <c r="J1049" s="12" t="s">
        <v>894</v>
      </c>
      <c r="K1049" s="12" t="s">
        <v>911</v>
      </c>
      <c r="L1049" s="12"/>
      <c r="M1049" s="11"/>
      <c r="N1049" s="11"/>
      <c r="O1049" s="11"/>
      <c r="P1049" s="11"/>
    </row>
    <row r="1050" spans="1:16" x14ac:dyDescent="0.25">
      <c r="A1050" s="696">
        <v>56810</v>
      </c>
      <c r="B1050" s="696">
        <v>1000</v>
      </c>
      <c r="C1050" s="696">
        <v>100</v>
      </c>
      <c r="D1050" s="696">
        <v>2100</v>
      </c>
      <c r="F1050" s="700" t="s">
        <v>1326</v>
      </c>
      <c r="G1050" s="701">
        <v>5938</v>
      </c>
      <c r="H1050" s="12" t="s">
        <v>889</v>
      </c>
      <c r="I1050" s="12" t="s">
        <v>893</v>
      </c>
      <c r="J1050" s="12" t="s">
        <v>902</v>
      </c>
      <c r="K1050" s="12" t="s">
        <v>911</v>
      </c>
      <c r="L1050" s="12"/>
      <c r="M1050" s="11"/>
      <c r="N1050" s="11"/>
      <c r="O1050" s="11"/>
      <c r="P1050" s="11"/>
    </row>
    <row r="1051" spans="1:16" x14ac:dyDescent="0.25">
      <c r="A1051" s="696">
        <v>56810</v>
      </c>
      <c r="B1051" s="696">
        <v>1000</v>
      </c>
      <c r="C1051" s="696">
        <v>100</v>
      </c>
      <c r="D1051" s="696">
        <v>2200</v>
      </c>
      <c r="F1051" s="700" t="s">
        <v>1326</v>
      </c>
      <c r="G1051" s="701">
        <v>162.5</v>
      </c>
      <c r="H1051" s="12" t="s">
        <v>889</v>
      </c>
      <c r="I1051" s="12" t="s">
        <v>893</v>
      </c>
      <c r="J1051" s="12" t="s">
        <v>906</v>
      </c>
      <c r="K1051" s="12" t="s">
        <v>911</v>
      </c>
      <c r="L1051" s="12"/>
      <c r="M1051" s="11"/>
      <c r="N1051" s="11"/>
      <c r="O1051" s="11"/>
      <c r="P1051" s="11"/>
    </row>
    <row r="1052" spans="1:16" x14ac:dyDescent="0.25">
      <c r="A1052" s="696">
        <v>56810</v>
      </c>
      <c r="B1052" s="696">
        <v>1000</v>
      </c>
      <c r="C1052" s="696">
        <v>100</v>
      </c>
      <c r="D1052" s="696">
        <v>2300</v>
      </c>
      <c r="F1052" s="700" t="s">
        <v>1326</v>
      </c>
      <c r="G1052" s="701">
        <v>2699.33</v>
      </c>
      <c r="H1052" s="12" t="s">
        <v>889</v>
      </c>
      <c r="I1052" s="12" t="s">
        <v>893</v>
      </c>
      <c r="J1052" s="12" t="s">
        <v>918</v>
      </c>
      <c r="K1052" s="12" t="s">
        <v>911</v>
      </c>
      <c r="L1052" s="12"/>
      <c r="M1052" s="11"/>
      <c r="N1052" s="11"/>
      <c r="O1052" s="11"/>
      <c r="P1052" s="11"/>
    </row>
    <row r="1053" spans="1:16" x14ac:dyDescent="0.25">
      <c r="A1053" s="696">
        <v>56810</v>
      </c>
      <c r="B1053" s="696">
        <v>1000</v>
      </c>
      <c r="C1053" s="696">
        <v>100</v>
      </c>
      <c r="D1053" s="696">
        <v>2400</v>
      </c>
      <c r="F1053" s="700" t="s">
        <v>1326</v>
      </c>
      <c r="G1053" s="701">
        <v>20631.02</v>
      </c>
      <c r="H1053" s="12" t="s">
        <v>889</v>
      </c>
      <c r="I1053" s="12" t="s">
        <v>893</v>
      </c>
      <c r="J1053" s="12" t="s">
        <v>922</v>
      </c>
      <c r="K1053" s="12" t="s">
        <v>911</v>
      </c>
      <c r="L1053" s="12"/>
      <c r="M1053" s="11"/>
      <c r="N1053" s="11"/>
      <c r="O1053" s="11"/>
      <c r="P1053" s="11"/>
    </row>
    <row r="1054" spans="1:16" x14ac:dyDescent="0.25">
      <c r="A1054" s="696">
        <v>56810</v>
      </c>
      <c r="B1054" s="696">
        <v>1000</v>
      </c>
      <c r="C1054" s="696">
        <v>100</v>
      </c>
      <c r="D1054" s="696">
        <v>2500</v>
      </c>
      <c r="F1054" s="700" t="s">
        <v>1326</v>
      </c>
      <c r="G1054" s="701">
        <v>107451.4</v>
      </c>
      <c r="H1054" s="12" t="s">
        <v>889</v>
      </c>
      <c r="I1054" s="12" t="s">
        <v>893</v>
      </c>
      <c r="J1054" s="12" t="s">
        <v>926</v>
      </c>
      <c r="K1054" s="12" t="s">
        <v>911</v>
      </c>
      <c r="L1054" s="12"/>
      <c r="M1054" s="11"/>
      <c r="N1054" s="11"/>
      <c r="O1054" s="11"/>
      <c r="P1054" s="11"/>
    </row>
    <row r="1055" spans="1:16" x14ac:dyDescent="0.25">
      <c r="A1055" s="696">
        <v>56810</v>
      </c>
      <c r="B1055" s="696">
        <v>1000</v>
      </c>
      <c r="C1055" s="696">
        <v>100</v>
      </c>
      <c r="D1055" s="696">
        <v>2510</v>
      </c>
      <c r="F1055" s="700" t="s">
        <v>1326</v>
      </c>
      <c r="G1055" s="701">
        <v>77.05</v>
      </c>
      <c r="H1055" s="12" t="s">
        <v>889</v>
      </c>
      <c r="I1055" s="12" t="s">
        <v>893</v>
      </c>
      <c r="J1055" s="12" t="s">
        <v>926</v>
      </c>
      <c r="K1055" s="12" t="s">
        <v>911</v>
      </c>
      <c r="L1055" s="12"/>
      <c r="M1055" s="11"/>
      <c r="N1055" s="11"/>
      <c r="O1055" s="11"/>
      <c r="P1055" s="11"/>
    </row>
    <row r="1056" spans="1:16" x14ac:dyDescent="0.25">
      <c r="A1056" s="696">
        <v>56810</v>
      </c>
      <c r="B1056" s="696">
        <v>1000</v>
      </c>
      <c r="C1056" s="696">
        <v>200</v>
      </c>
      <c r="D1056" s="696">
        <v>2100</v>
      </c>
      <c r="F1056" s="700" t="s">
        <v>1326</v>
      </c>
      <c r="G1056" s="701">
        <v>485</v>
      </c>
      <c r="H1056" s="12" t="s">
        <v>889</v>
      </c>
      <c r="I1056" s="12" t="s">
        <v>897</v>
      </c>
      <c r="J1056" s="12" t="s">
        <v>902</v>
      </c>
      <c r="K1056" s="12" t="s">
        <v>911</v>
      </c>
      <c r="L1056" s="12"/>
      <c r="M1056" s="11"/>
      <c r="N1056" s="11"/>
      <c r="O1056" s="11"/>
      <c r="P1056" s="11"/>
    </row>
    <row r="1057" spans="1:16" x14ac:dyDescent="0.25">
      <c r="A1057" s="696">
        <v>56810</v>
      </c>
      <c r="B1057" s="696">
        <v>1000</v>
      </c>
      <c r="C1057" s="696">
        <v>240</v>
      </c>
      <c r="D1057" s="696">
        <v>2100</v>
      </c>
      <c r="F1057" s="700" t="s">
        <v>1326</v>
      </c>
      <c r="G1057" s="701">
        <v>122.26</v>
      </c>
      <c r="H1057" s="12" t="s">
        <v>889</v>
      </c>
      <c r="I1057" s="12" t="s">
        <v>897</v>
      </c>
      <c r="J1057" s="12" t="s">
        <v>902</v>
      </c>
      <c r="K1057" s="12" t="s">
        <v>911</v>
      </c>
      <c r="L1057" s="12"/>
      <c r="M1057" s="11"/>
      <c r="N1057" s="11"/>
      <c r="O1057" s="11"/>
      <c r="P1057" s="11"/>
    </row>
    <row r="1058" spans="1:16" x14ac:dyDescent="0.25">
      <c r="A1058" s="696">
        <v>56810</v>
      </c>
      <c r="B1058" s="696">
        <v>1000</v>
      </c>
      <c r="C1058" s="696">
        <v>615</v>
      </c>
      <c r="D1058" s="696">
        <v>1000</v>
      </c>
      <c r="F1058" s="700" t="s">
        <v>1326</v>
      </c>
      <c r="G1058" s="701">
        <v>385</v>
      </c>
      <c r="H1058" s="12" t="s">
        <v>889</v>
      </c>
      <c r="I1058" s="12" t="s">
        <v>937</v>
      </c>
      <c r="J1058" s="12" t="s">
        <v>894</v>
      </c>
      <c r="K1058" s="12" t="s">
        <v>911</v>
      </c>
      <c r="L1058" s="12"/>
      <c r="M1058" s="11"/>
      <c r="N1058" s="11"/>
      <c r="O1058" s="11"/>
      <c r="P1058" s="11"/>
    </row>
    <row r="1059" spans="1:16" x14ac:dyDescent="0.25">
      <c r="A1059" s="696">
        <v>56810</v>
      </c>
      <c r="B1059" s="696">
        <v>1322</v>
      </c>
      <c r="C1059" s="696">
        <v>100</v>
      </c>
      <c r="D1059" s="696">
        <v>1000</v>
      </c>
      <c r="F1059" s="700" t="s">
        <v>1326</v>
      </c>
      <c r="G1059" s="701">
        <v>-0.8</v>
      </c>
      <c r="H1059" s="12" t="s">
        <v>968</v>
      </c>
      <c r="I1059" s="12" t="s">
        <v>893</v>
      </c>
      <c r="J1059" s="12" t="s">
        <v>894</v>
      </c>
      <c r="K1059" s="12" t="s">
        <v>911</v>
      </c>
      <c r="L1059" s="12"/>
      <c r="M1059" s="11"/>
      <c r="N1059" s="11"/>
      <c r="O1059" s="11"/>
      <c r="P1059" s="11"/>
    </row>
    <row r="1060" spans="1:16" x14ac:dyDescent="0.25">
      <c r="A1060" s="696">
        <v>56810</v>
      </c>
      <c r="B1060" s="696">
        <v>1532</v>
      </c>
      <c r="C1060" s="696">
        <v>100</v>
      </c>
      <c r="D1060" s="696">
        <v>1000</v>
      </c>
      <c r="F1060" s="700" t="s">
        <v>1326</v>
      </c>
      <c r="G1060" s="701">
        <v>2100</v>
      </c>
      <c r="H1060" s="12" t="s">
        <v>997</v>
      </c>
      <c r="I1060" s="12" t="s">
        <v>893</v>
      </c>
      <c r="J1060" s="12" t="s">
        <v>894</v>
      </c>
      <c r="K1060" s="12" t="s">
        <v>911</v>
      </c>
      <c r="L1060" s="12"/>
      <c r="M1060" s="11"/>
      <c r="N1060" s="11"/>
      <c r="O1060" s="11"/>
      <c r="P1060" s="11"/>
    </row>
    <row r="1061" spans="1:16" x14ac:dyDescent="0.25">
      <c r="A1061" s="696">
        <v>56810</v>
      </c>
      <c r="B1061" s="696">
        <v>1534</v>
      </c>
      <c r="C1061" s="696">
        <v>100</v>
      </c>
      <c r="D1061" s="696">
        <v>1000</v>
      </c>
      <c r="F1061" s="700" t="s">
        <v>1326</v>
      </c>
      <c r="G1061" s="701">
        <v>9022</v>
      </c>
      <c r="H1061" s="12" t="s">
        <v>997</v>
      </c>
      <c r="I1061" s="12" t="s">
        <v>893</v>
      </c>
      <c r="J1061" s="12" t="s">
        <v>894</v>
      </c>
      <c r="K1061" s="12" t="s">
        <v>911</v>
      </c>
      <c r="L1061" s="12"/>
      <c r="M1061" s="11"/>
      <c r="N1061" s="11"/>
      <c r="O1061" s="11"/>
      <c r="P1061" s="11"/>
    </row>
    <row r="1062" spans="1:16" x14ac:dyDescent="0.25">
      <c r="A1062" s="696">
        <v>56810</v>
      </c>
      <c r="B1062" s="696">
        <v>1756</v>
      </c>
      <c r="C1062" s="696">
        <v>615</v>
      </c>
      <c r="D1062" s="696">
        <v>1000</v>
      </c>
      <c r="F1062" s="700" t="s">
        <v>1326</v>
      </c>
      <c r="G1062" s="701">
        <v>385</v>
      </c>
      <c r="H1062" s="12" t="s">
        <v>997</v>
      </c>
      <c r="I1062" s="12" t="s">
        <v>937</v>
      </c>
      <c r="J1062" s="12" t="s">
        <v>894</v>
      </c>
      <c r="K1062" s="12" t="s">
        <v>911</v>
      </c>
      <c r="L1062" s="12"/>
      <c r="M1062" s="11"/>
      <c r="N1062" s="11"/>
      <c r="O1062" s="11"/>
      <c r="P1062" s="11"/>
    </row>
    <row r="1063" spans="1:16" x14ac:dyDescent="0.25">
      <c r="A1063" s="696">
        <v>56810</v>
      </c>
      <c r="B1063" s="696">
        <v>1766</v>
      </c>
      <c r="C1063" s="696">
        <v>615</v>
      </c>
      <c r="D1063" s="696">
        <v>1000</v>
      </c>
      <c r="F1063" s="700" t="s">
        <v>1326</v>
      </c>
      <c r="G1063" s="701">
        <v>385</v>
      </c>
      <c r="H1063" s="12" t="s">
        <v>997</v>
      </c>
      <c r="I1063" s="12" t="s">
        <v>937</v>
      </c>
      <c r="J1063" s="12" t="s">
        <v>894</v>
      </c>
      <c r="K1063" s="12" t="s">
        <v>911</v>
      </c>
      <c r="L1063" s="12"/>
      <c r="M1063" s="11"/>
      <c r="N1063" s="11"/>
      <c r="O1063" s="11"/>
      <c r="P1063" s="11"/>
    </row>
    <row r="1064" spans="1:16" x14ac:dyDescent="0.25">
      <c r="A1064" s="696">
        <v>56810</v>
      </c>
      <c r="B1064" s="696">
        <v>1884</v>
      </c>
      <c r="C1064" s="696">
        <v>100</v>
      </c>
      <c r="D1064" s="696">
        <v>2500</v>
      </c>
      <c r="F1064" s="700" t="s">
        <v>1326</v>
      </c>
      <c r="G1064" s="701">
        <v>74.83</v>
      </c>
      <c r="H1064" s="12" t="s">
        <v>997</v>
      </c>
      <c r="I1064" s="12" t="s">
        <v>893</v>
      </c>
      <c r="J1064" s="12" t="s">
        <v>926</v>
      </c>
      <c r="K1064" s="12" t="s">
        <v>911</v>
      </c>
      <c r="L1064" s="12"/>
      <c r="M1064" s="11"/>
      <c r="N1064" s="11"/>
      <c r="O1064" s="11"/>
      <c r="P1064" s="11"/>
    </row>
    <row r="1065" spans="1:16" x14ac:dyDescent="0.25">
      <c r="A1065" s="696">
        <v>56811</v>
      </c>
      <c r="B1065" s="696">
        <v>1000</v>
      </c>
      <c r="C1065" s="696">
        <v>100</v>
      </c>
      <c r="D1065" s="696">
        <v>1000</v>
      </c>
      <c r="F1065" s="700" t="s">
        <v>1327</v>
      </c>
      <c r="G1065" s="701">
        <v>81891.820000000007</v>
      </c>
      <c r="H1065" s="12" t="s">
        <v>889</v>
      </c>
      <c r="I1065" s="12" t="s">
        <v>893</v>
      </c>
      <c r="J1065" s="12" t="s">
        <v>894</v>
      </c>
      <c r="K1065" s="12" t="s">
        <v>911</v>
      </c>
      <c r="L1065" s="12"/>
      <c r="M1065" s="11"/>
      <c r="N1065" s="11"/>
      <c r="O1065" s="11"/>
      <c r="P1065" s="11"/>
    </row>
    <row r="1066" spans="1:16" x14ac:dyDescent="0.25">
      <c r="A1066" s="696">
        <v>56811</v>
      </c>
      <c r="B1066" s="696">
        <v>1000</v>
      </c>
      <c r="C1066" s="696">
        <v>100</v>
      </c>
      <c r="D1066" s="696">
        <v>2100</v>
      </c>
      <c r="F1066" s="700" t="s">
        <v>1327</v>
      </c>
      <c r="G1066" s="701">
        <v>2614.87</v>
      </c>
      <c r="H1066" s="12" t="s">
        <v>889</v>
      </c>
      <c r="I1066" s="12" t="s">
        <v>893</v>
      </c>
      <c r="J1066" s="12" t="s">
        <v>902</v>
      </c>
      <c r="K1066" s="12" t="s">
        <v>911</v>
      </c>
      <c r="L1066" s="12"/>
      <c r="M1066" s="11"/>
      <c r="N1066" s="11"/>
      <c r="O1066" s="11"/>
      <c r="P1066" s="11"/>
    </row>
    <row r="1067" spans="1:16" x14ac:dyDescent="0.25">
      <c r="A1067" s="696">
        <v>56811</v>
      </c>
      <c r="B1067" s="696">
        <v>1000</v>
      </c>
      <c r="C1067" s="696">
        <v>100</v>
      </c>
      <c r="D1067" s="696">
        <v>2200</v>
      </c>
      <c r="F1067" s="700" t="s">
        <v>1327</v>
      </c>
      <c r="G1067" s="701">
        <v>2145.64</v>
      </c>
      <c r="H1067" s="12" t="s">
        <v>889</v>
      </c>
      <c r="I1067" s="12" t="s">
        <v>893</v>
      </c>
      <c r="J1067" s="12" t="s">
        <v>906</v>
      </c>
      <c r="K1067" s="12" t="s">
        <v>911</v>
      </c>
      <c r="L1067" s="12"/>
      <c r="M1067" s="11"/>
      <c r="N1067" s="11"/>
      <c r="O1067" s="11"/>
      <c r="P1067" s="11"/>
    </row>
    <row r="1068" spans="1:16" x14ac:dyDescent="0.25">
      <c r="A1068" s="696">
        <v>56811</v>
      </c>
      <c r="B1068" s="696">
        <v>1000</v>
      </c>
      <c r="C1068" s="696">
        <v>100</v>
      </c>
      <c r="D1068" s="696">
        <v>2300</v>
      </c>
      <c r="F1068" s="700" t="s">
        <v>1327</v>
      </c>
      <c r="G1068" s="701">
        <v>212.95</v>
      </c>
      <c r="H1068" s="12" t="s">
        <v>889</v>
      </c>
      <c r="I1068" s="12" t="s">
        <v>893</v>
      </c>
      <c r="J1068" s="12" t="s">
        <v>918</v>
      </c>
      <c r="K1068" s="12" t="s">
        <v>911</v>
      </c>
      <c r="L1068" s="12"/>
      <c r="M1068" s="11"/>
      <c r="N1068" s="11"/>
      <c r="O1068" s="11"/>
      <c r="P1068" s="11"/>
    </row>
    <row r="1069" spans="1:16" x14ac:dyDescent="0.25">
      <c r="A1069" s="696">
        <v>56811</v>
      </c>
      <c r="B1069" s="696">
        <v>1000</v>
      </c>
      <c r="C1069" s="696">
        <v>100</v>
      </c>
      <c r="D1069" s="696">
        <v>2400</v>
      </c>
      <c r="F1069" s="700" t="s">
        <v>1327</v>
      </c>
      <c r="G1069" s="701">
        <v>15.41</v>
      </c>
      <c r="H1069" s="12" t="s">
        <v>889</v>
      </c>
      <c r="I1069" s="12" t="s">
        <v>893</v>
      </c>
      <c r="J1069" s="12" t="s">
        <v>922</v>
      </c>
      <c r="K1069" s="12" t="s">
        <v>911</v>
      </c>
      <c r="L1069" s="12"/>
      <c r="M1069" s="11"/>
      <c r="N1069" s="11"/>
      <c r="O1069" s="11"/>
      <c r="P1069" s="11"/>
    </row>
    <row r="1070" spans="1:16" x14ac:dyDescent="0.25">
      <c r="A1070" s="696">
        <v>56811</v>
      </c>
      <c r="B1070" s="696">
        <v>1000</v>
      </c>
      <c r="C1070" s="696">
        <v>100</v>
      </c>
      <c r="D1070" s="696">
        <v>2500</v>
      </c>
      <c r="F1070" s="700" t="s">
        <v>1327</v>
      </c>
      <c r="G1070" s="701">
        <v>1459888.05</v>
      </c>
      <c r="H1070" s="12" t="s">
        <v>889</v>
      </c>
      <c r="I1070" s="12" t="s">
        <v>893</v>
      </c>
      <c r="J1070" s="12" t="s">
        <v>926</v>
      </c>
      <c r="K1070" s="12" t="s">
        <v>911</v>
      </c>
      <c r="L1070" s="12"/>
      <c r="M1070" s="11"/>
      <c r="N1070" s="11"/>
      <c r="O1070" s="11"/>
      <c r="P1070" s="11"/>
    </row>
    <row r="1071" spans="1:16" x14ac:dyDescent="0.25">
      <c r="A1071" s="696">
        <v>56820</v>
      </c>
      <c r="B1071" s="696">
        <v>1000</v>
      </c>
      <c r="C1071" s="696">
        <v>100</v>
      </c>
      <c r="D1071" s="696">
        <v>2500</v>
      </c>
      <c r="F1071" s="700" t="s">
        <v>1328</v>
      </c>
      <c r="G1071" s="701">
        <v>5756.34</v>
      </c>
      <c r="H1071" s="12" t="s">
        <v>889</v>
      </c>
      <c r="I1071" s="12" t="s">
        <v>893</v>
      </c>
      <c r="J1071" s="12" t="s">
        <v>918</v>
      </c>
      <c r="K1071" s="12" t="s">
        <v>915</v>
      </c>
      <c r="L1071" s="12"/>
      <c r="M1071" s="11"/>
      <c r="N1071" s="11"/>
      <c r="O1071" s="11"/>
      <c r="P1071" s="11"/>
    </row>
    <row r="1072" spans="1:16" x14ac:dyDescent="0.25">
      <c r="A1072" s="696">
        <v>56830</v>
      </c>
      <c r="B1072" s="696">
        <v>1000</v>
      </c>
      <c r="C1072" s="696">
        <v>100</v>
      </c>
      <c r="D1072" s="696">
        <v>1000</v>
      </c>
      <c r="F1072" s="700" t="s">
        <v>1329</v>
      </c>
      <c r="G1072" s="701">
        <v>1012054.77</v>
      </c>
      <c r="H1072" s="12" t="s">
        <v>889</v>
      </c>
      <c r="I1072" s="12" t="s">
        <v>893</v>
      </c>
      <c r="J1072" s="12" t="s">
        <v>894</v>
      </c>
      <c r="K1072" s="12" t="s">
        <v>927</v>
      </c>
      <c r="L1072" s="12"/>
      <c r="M1072" s="11"/>
      <c r="N1072" s="11"/>
      <c r="O1072" s="11"/>
      <c r="P1072" s="11"/>
    </row>
    <row r="1073" spans="1:16" x14ac:dyDescent="0.25">
      <c r="A1073" s="696">
        <v>56875</v>
      </c>
      <c r="B1073" s="696">
        <v>1000</v>
      </c>
      <c r="C1073" s="696">
        <v>100</v>
      </c>
      <c r="D1073" s="696">
        <v>2500</v>
      </c>
      <c r="F1073" s="700" t="s">
        <v>1330</v>
      </c>
      <c r="G1073" s="701">
        <v>174215.55</v>
      </c>
      <c r="H1073" s="12" t="s">
        <v>889</v>
      </c>
      <c r="I1073" s="12" t="s">
        <v>893</v>
      </c>
      <c r="J1073" s="12" t="s">
        <v>926</v>
      </c>
      <c r="K1073" s="12" t="s">
        <v>927</v>
      </c>
      <c r="L1073" s="12"/>
      <c r="M1073" s="11"/>
      <c r="N1073" s="11"/>
      <c r="O1073" s="11"/>
      <c r="P1073" s="11"/>
    </row>
    <row r="1074" spans="1:16" x14ac:dyDescent="0.25">
      <c r="A1074" s="696">
        <v>56875</v>
      </c>
      <c r="B1074" s="696">
        <v>1865</v>
      </c>
      <c r="C1074" s="696">
        <v>100</v>
      </c>
      <c r="D1074" s="696">
        <v>2500</v>
      </c>
      <c r="F1074" s="700" t="s">
        <v>1330</v>
      </c>
      <c r="G1074" s="701">
        <v>21743.919999999998</v>
      </c>
      <c r="H1074" s="12" t="s">
        <v>997</v>
      </c>
      <c r="I1074" s="12" t="s">
        <v>893</v>
      </c>
      <c r="J1074" s="12" t="s">
        <v>926</v>
      </c>
      <c r="K1074" s="12" t="s">
        <v>927</v>
      </c>
      <c r="L1074" s="12"/>
      <c r="M1074" s="11"/>
      <c r="N1074" s="11"/>
      <c r="O1074" s="11"/>
      <c r="P1074" s="11"/>
    </row>
    <row r="1075" spans="1:16" x14ac:dyDescent="0.25">
      <c r="A1075" s="696">
        <v>56890</v>
      </c>
      <c r="B1075" s="696">
        <v>1000</v>
      </c>
      <c r="C1075" s="696">
        <v>100</v>
      </c>
      <c r="D1075" s="696">
        <v>1000</v>
      </c>
      <c r="F1075" s="700" t="s">
        <v>1331</v>
      </c>
      <c r="G1075" s="701">
        <v>5463.86</v>
      </c>
      <c r="H1075" s="12" t="s">
        <v>889</v>
      </c>
      <c r="I1075" s="12" t="s">
        <v>893</v>
      </c>
      <c r="J1075" s="12" t="s">
        <v>894</v>
      </c>
      <c r="K1075" s="12" t="s">
        <v>923</v>
      </c>
      <c r="L1075" s="12"/>
      <c r="M1075" s="11"/>
      <c r="N1075" s="11"/>
      <c r="O1075" s="11"/>
      <c r="P1075" s="11"/>
    </row>
    <row r="1076" spans="1:16" x14ac:dyDescent="0.25">
      <c r="A1076" s="696">
        <v>56890</v>
      </c>
      <c r="B1076" s="696">
        <v>1000</v>
      </c>
      <c r="C1076" s="696">
        <v>100</v>
      </c>
      <c r="D1076" s="696">
        <v>2500</v>
      </c>
      <c r="F1076" s="700" t="s">
        <v>1331</v>
      </c>
      <c r="G1076" s="701">
        <v>15691.95</v>
      </c>
      <c r="H1076" s="12" t="s">
        <v>889</v>
      </c>
      <c r="I1076" s="12" t="s">
        <v>893</v>
      </c>
      <c r="J1076" s="12" t="s">
        <v>926</v>
      </c>
      <c r="K1076" s="12" t="s">
        <v>923</v>
      </c>
      <c r="L1076" s="12"/>
      <c r="M1076" s="11"/>
      <c r="N1076" s="11"/>
      <c r="O1076" s="11"/>
      <c r="P1076" s="11"/>
    </row>
    <row r="1077" spans="1:16" x14ac:dyDescent="0.25">
      <c r="A1077" s="696">
        <v>56910</v>
      </c>
      <c r="B1077" s="696">
        <v>1000</v>
      </c>
      <c r="C1077" s="696">
        <v>100</v>
      </c>
      <c r="D1077" s="696">
        <v>2500</v>
      </c>
      <c r="F1077" s="700" t="s">
        <v>1332</v>
      </c>
      <c r="G1077" s="701">
        <v>-103851.72</v>
      </c>
      <c r="H1077" s="12" t="s">
        <v>889</v>
      </c>
      <c r="I1077" s="12" t="s">
        <v>893</v>
      </c>
      <c r="J1077" s="12" t="s">
        <v>926</v>
      </c>
      <c r="K1077" s="12" t="s">
        <v>931</v>
      </c>
      <c r="L1077" s="12"/>
      <c r="M1077" s="11"/>
      <c r="N1077" s="11"/>
      <c r="O1077" s="11"/>
      <c r="P1077" s="11"/>
    </row>
    <row r="1078" spans="1:16" x14ac:dyDescent="0.25">
      <c r="A1078" s="696">
        <v>56910</v>
      </c>
      <c r="B1078" s="696">
        <v>1000</v>
      </c>
      <c r="C1078" s="696">
        <v>200</v>
      </c>
      <c r="D1078" s="696">
        <v>2100</v>
      </c>
      <c r="F1078" s="700" t="s">
        <v>1332</v>
      </c>
      <c r="G1078" s="701">
        <v>-255.76</v>
      </c>
      <c r="H1078" s="12" t="s">
        <v>889</v>
      </c>
      <c r="I1078" s="12" t="s">
        <v>897</v>
      </c>
      <c r="J1078" s="12" t="s">
        <v>902</v>
      </c>
      <c r="K1078" s="12" t="s">
        <v>931</v>
      </c>
      <c r="L1078" s="12"/>
      <c r="M1078" s="11"/>
      <c r="N1078" s="11"/>
      <c r="O1078" s="11"/>
      <c r="P1078" s="11"/>
    </row>
    <row r="1079" spans="1:16" x14ac:dyDescent="0.25">
      <c r="A1079" s="696">
        <v>56910</v>
      </c>
      <c r="B1079" s="696">
        <v>1130</v>
      </c>
      <c r="C1079" s="696">
        <v>100</v>
      </c>
      <c r="D1079" s="696">
        <v>2500</v>
      </c>
      <c r="F1079" s="700" t="s">
        <v>1332</v>
      </c>
      <c r="G1079" s="701">
        <v>1949.2</v>
      </c>
      <c r="H1079" s="12" t="s">
        <v>904</v>
      </c>
      <c r="I1079" s="12" t="s">
        <v>893</v>
      </c>
      <c r="J1079" s="12" t="s">
        <v>926</v>
      </c>
      <c r="K1079" s="12" t="s">
        <v>931</v>
      </c>
      <c r="L1079" s="12"/>
      <c r="M1079" s="11"/>
      <c r="N1079" s="11"/>
      <c r="O1079" s="11"/>
      <c r="P1079" s="11"/>
    </row>
    <row r="1080" spans="1:16" x14ac:dyDescent="0.25">
      <c r="A1080" s="696">
        <v>56910</v>
      </c>
      <c r="B1080" s="696">
        <v>1190</v>
      </c>
      <c r="C1080" s="696">
        <v>260</v>
      </c>
      <c r="D1080" s="696">
        <v>2500</v>
      </c>
      <c r="F1080" s="700" t="s">
        <v>1332</v>
      </c>
      <c r="G1080" s="701">
        <v>76.08</v>
      </c>
      <c r="H1080" s="12" t="s">
        <v>920</v>
      </c>
      <c r="I1080" s="12" t="s">
        <v>901</v>
      </c>
      <c r="J1080" s="12" t="s">
        <v>926</v>
      </c>
      <c r="K1080" s="12" t="s">
        <v>931</v>
      </c>
      <c r="L1080" s="12"/>
      <c r="M1080" s="11"/>
      <c r="N1080" s="11"/>
      <c r="O1080" s="11"/>
      <c r="P1080" s="11"/>
    </row>
    <row r="1081" spans="1:16" x14ac:dyDescent="0.25">
      <c r="A1081" s="696">
        <v>56910</v>
      </c>
      <c r="B1081" s="696">
        <v>1220</v>
      </c>
      <c r="C1081" s="696">
        <v>100</v>
      </c>
      <c r="D1081" s="696">
        <v>2500</v>
      </c>
      <c r="F1081" s="700" t="s">
        <v>1332</v>
      </c>
      <c r="G1081" s="701">
        <v>-504.58</v>
      </c>
      <c r="H1081" s="12" t="s">
        <v>932</v>
      </c>
      <c r="I1081" s="12" t="s">
        <v>893</v>
      </c>
      <c r="J1081" s="12" t="s">
        <v>926</v>
      </c>
      <c r="K1081" s="12" t="s">
        <v>931</v>
      </c>
      <c r="L1081" s="12"/>
      <c r="M1081" s="11"/>
      <c r="N1081" s="11"/>
      <c r="O1081" s="11"/>
      <c r="P1081" s="11"/>
    </row>
    <row r="1082" spans="1:16" x14ac:dyDescent="0.25">
      <c r="A1082" s="696">
        <v>56910</v>
      </c>
      <c r="B1082" s="696">
        <v>1220</v>
      </c>
      <c r="C1082" s="696">
        <v>200</v>
      </c>
      <c r="D1082" s="696">
        <v>2500</v>
      </c>
      <c r="F1082" s="700" t="s">
        <v>1332</v>
      </c>
      <c r="G1082" s="701">
        <v>40955.449999999997</v>
      </c>
      <c r="H1082" s="12" t="s">
        <v>932</v>
      </c>
      <c r="I1082" s="12" t="s">
        <v>897</v>
      </c>
      <c r="J1082" s="12" t="s">
        <v>926</v>
      </c>
      <c r="K1082" s="12" t="s">
        <v>931</v>
      </c>
      <c r="L1082" s="12"/>
      <c r="M1082" s="11"/>
      <c r="N1082" s="11"/>
      <c r="O1082" s="11"/>
      <c r="P1082" s="11"/>
    </row>
    <row r="1083" spans="1:16" x14ac:dyDescent="0.25">
      <c r="A1083" s="696">
        <v>56910</v>
      </c>
      <c r="B1083" s="696">
        <v>1227</v>
      </c>
      <c r="C1083" s="696">
        <v>200</v>
      </c>
      <c r="D1083" s="696">
        <v>2100</v>
      </c>
      <c r="F1083" s="700" t="s">
        <v>1332</v>
      </c>
      <c r="G1083" s="701">
        <v>255.76</v>
      </c>
      <c r="H1083" s="12" t="s">
        <v>936</v>
      </c>
      <c r="I1083" s="12" t="s">
        <v>897</v>
      </c>
      <c r="J1083" s="12" t="s">
        <v>902</v>
      </c>
      <c r="K1083" s="12" t="s">
        <v>931</v>
      </c>
      <c r="L1083" s="12"/>
      <c r="M1083" s="11"/>
      <c r="N1083" s="11"/>
      <c r="O1083" s="11"/>
      <c r="P1083" s="11"/>
    </row>
    <row r="1084" spans="1:16" x14ac:dyDescent="0.25">
      <c r="A1084" s="696">
        <v>56910</v>
      </c>
      <c r="B1084" s="696">
        <v>1327</v>
      </c>
      <c r="C1084" s="696">
        <v>100</v>
      </c>
      <c r="D1084" s="696">
        <v>2500</v>
      </c>
      <c r="F1084" s="700" t="s">
        <v>1332</v>
      </c>
      <c r="G1084" s="701">
        <v>9.8699999999999992</v>
      </c>
      <c r="H1084" s="12" t="s">
        <v>968</v>
      </c>
      <c r="I1084" s="12" t="s">
        <v>893</v>
      </c>
      <c r="J1084" s="12" t="s">
        <v>926</v>
      </c>
      <c r="K1084" s="12" t="s">
        <v>931</v>
      </c>
      <c r="L1084" s="12"/>
      <c r="M1084" s="11"/>
      <c r="N1084" s="11"/>
      <c r="O1084" s="11"/>
      <c r="P1084" s="11"/>
    </row>
    <row r="1085" spans="1:16" x14ac:dyDescent="0.25">
      <c r="A1085" s="696">
        <v>56910</v>
      </c>
      <c r="B1085" s="696">
        <v>1531</v>
      </c>
      <c r="C1085" s="696">
        <v>100</v>
      </c>
      <c r="D1085" s="696">
        <v>2500</v>
      </c>
      <c r="F1085" s="700" t="s">
        <v>1332</v>
      </c>
      <c r="G1085" s="701">
        <v>47308.19</v>
      </c>
      <c r="H1085" s="12" t="s">
        <v>997</v>
      </c>
      <c r="I1085" s="12" t="s">
        <v>893</v>
      </c>
      <c r="J1085" s="12" t="s">
        <v>926</v>
      </c>
      <c r="K1085" s="12" t="s">
        <v>931</v>
      </c>
      <c r="L1085" s="12"/>
      <c r="M1085" s="11"/>
      <c r="N1085" s="11"/>
      <c r="O1085" s="11"/>
      <c r="P1085" s="11"/>
    </row>
    <row r="1086" spans="1:16" x14ac:dyDescent="0.25">
      <c r="A1086" s="696">
        <v>56910</v>
      </c>
      <c r="B1086" s="696">
        <v>1532</v>
      </c>
      <c r="C1086" s="696">
        <v>100</v>
      </c>
      <c r="D1086" s="696">
        <v>2500</v>
      </c>
      <c r="F1086" s="700" t="s">
        <v>1332</v>
      </c>
      <c r="G1086" s="701">
        <v>14066.18</v>
      </c>
      <c r="H1086" s="12" t="s">
        <v>997</v>
      </c>
      <c r="I1086" s="12" t="s">
        <v>893</v>
      </c>
      <c r="J1086" s="12" t="s">
        <v>926</v>
      </c>
      <c r="K1086" s="12" t="s">
        <v>931</v>
      </c>
      <c r="L1086" s="12"/>
      <c r="M1086" s="11"/>
      <c r="N1086" s="11"/>
      <c r="O1086" s="11"/>
      <c r="P1086" s="11"/>
    </row>
    <row r="1087" spans="1:16" x14ac:dyDescent="0.25">
      <c r="G1087" s="17"/>
      <c r="H1087" s="12"/>
      <c r="I1087" s="12"/>
      <c r="J1087" s="12"/>
      <c r="K1087" s="12"/>
      <c r="L1087" s="12"/>
      <c r="M1087" s="11"/>
      <c r="N1087" s="11"/>
      <c r="O1087" s="11"/>
      <c r="P1087" s="11"/>
    </row>
    <row r="1088" spans="1:16" x14ac:dyDescent="0.25">
      <c r="G1088" s="17"/>
      <c r="H1088" s="12"/>
      <c r="I1088" s="12"/>
      <c r="J1088" s="12"/>
      <c r="K1088" s="12"/>
      <c r="L1088" s="12"/>
      <c r="M1088" s="11"/>
      <c r="N1088" s="11"/>
      <c r="O1088" s="11"/>
      <c r="P1088" s="11"/>
    </row>
    <row r="1089" spans="7:16" x14ac:dyDescent="0.25">
      <c r="G1089" s="17"/>
      <c r="H1089" s="12"/>
      <c r="I1089" s="12"/>
      <c r="J1089" s="12"/>
      <c r="K1089" s="12"/>
      <c r="L1089" s="12"/>
      <c r="M1089" s="11"/>
      <c r="N1089" s="11"/>
      <c r="O1089" s="11"/>
      <c r="P1089" s="11"/>
    </row>
    <row r="1090" spans="7:16" x14ac:dyDescent="0.25">
      <c r="G1090" s="17"/>
      <c r="H1090" s="12"/>
      <c r="I1090" s="12"/>
      <c r="J1090" s="12"/>
      <c r="K1090" s="12"/>
      <c r="L1090" s="12"/>
      <c r="M1090" s="11"/>
      <c r="N1090" s="11"/>
      <c r="O1090" s="11"/>
      <c r="P1090" s="11"/>
    </row>
    <row r="1091" spans="7:16" x14ac:dyDescent="0.25">
      <c r="G1091" s="17"/>
      <c r="H1091" s="12"/>
      <c r="I1091" s="12"/>
      <c r="J1091" s="12"/>
      <c r="K1091" s="12"/>
      <c r="L1091" s="12"/>
      <c r="M1091" s="11"/>
      <c r="N1091" s="11"/>
      <c r="O1091" s="11"/>
      <c r="P1091" s="11"/>
    </row>
    <row r="1092" spans="7:16" x14ac:dyDescent="0.25">
      <c r="G1092" s="17"/>
      <c r="H1092" s="12"/>
      <c r="I1092" s="12"/>
      <c r="J1092" s="12"/>
      <c r="K1092" s="12"/>
      <c r="L1092" s="12"/>
      <c r="M1092" s="11"/>
      <c r="N1092" s="11"/>
      <c r="O1092" s="11"/>
      <c r="P1092" s="11"/>
    </row>
    <row r="1093" spans="7:16" x14ac:dyDescent="0.25">
      <c r="G1093" s="17"/>
      <c r="H1093" s="12"/>
      <c r="I1093" s="12"/>
      <c r="J1093" s="12"/>
      <c r="K1093" s="12"/>
      <c r="L1093" s="12"/>
      <c r="M1093" s="11"/>
      <c r="N1093" s="11"/>
      <c r="O1093" s="11"/>
      <c r="P1093" s="11"/>
    </row>
    <row r="1094" spans="7:16" x14ac:dyDescent="0.25">
      <c r="G1094" s="17"/>
      <c r="H1094" s="12"/>
      <c r="I1094" s="12"/>
      <c r="J1094" s="12"/>
      <c r="K1094" s="12"/>
      <c r="L1094" s="12"/>
      <c r="M1094" s="11"/>
      <c r="N1094" s="11"/>
      <c r="O1094" s="11"/>
      <c r="P1094" s="11"/>
    </row>
    <row r="1095" spans="7:16" x14ac:dyDescent="0.25">
      <c r="G1095" s="17"/>
      <c r="H1095" s="12"/>
      <c r="I1095" s="12"/>
      <c r="J1095" s="12"/>
      <c r="K1095" s="12"/>
      <c r="L1095" s="12"/>
      <c r="M1095" s="11"/>
      <c r="N1095" s="11"/>
      <c r="O1095" s="11"/>
      <c r="P1095" s="11"/>
    </row>
    <row r="1096" spans="7:16" x14ac:dyDescent="0.25">
      <c r="G1096" s="17"/>
      <c r="H1096" s="12"/>
      <c r="I1096" s="12"/>
      <c r="J1096" s="12"/>
      <c r="K1096" s="12"/>
      <c r="L1096" s="12"/>
      <c r="M1096" s="11"/>
      <c r="N1096" s="11"/>
      <c r="O1096" s="11"/>
      <c r="P1096" s="11"/>
    </row>
    <row r="1097" spans="7:16" x14ac:dyDescent="0.25">
      <c r="G1097" s="17"/>
      <c r="H1097" s="12"/>
      <c r="I1097" s="12"/>
      <c r="J1097" s="12"/>
      <c r="K1097" s="12"/>
      <c r="L1097" s="12"/>
      <c r="M1097" s="11"/>
      <c r="N1097" s="11"/>
      <c r="O1097" s="11"/>
      <c r="P1097" s="11"/>
    </row>
    <row r="1098" spans="7:16" x14ac:dyDescent="0.25">
      <c r="G1098" s="17"/>
      <c r="H1098" s="12"/>
      <c r="I1098" s="12"/>
      <c r="J1098" s="12"/>
      <c r="K1098" s="12"/>
      <c r="L1098" s="12"/>
      <c r="M1098" s="11"/>
      <c r="N1098" s="11"/>
      <c r="O1098" s="11"/>
      <c r="P1098" s="11"/>
    </row>
    <row r="1099" spans="7:16" x14ac:dyDescent="0.25">
      <c r="G1099" s="17"/>
      <c r="H1099" s="12"/>
      <c r="I1099" s="12"/>
      <c r="J1099" s="12"/>
      <c r="K1099" s="12"/>
      <c r="L1099" s="12"/>
      <c r="M1099" s="11"/>
      <c r="N1099" s="11"/>
      <c r="O1099" s="11"/>
      <c r="P1099" s="11"/>
    </row>
    <row r="1100" spans="7:16" x14ac:dyDescent="0.25">
      <c r="G1100" s="17"/>
      <c r="H1100" s="12"/>
      <c r="I1100" s="12"/>
      <c r="J1100" s="12"/>
      <c r="K1100" s="12"/>
      <c r="L1100" s="12"/>
      <c r="M1100" s="11"/>
      <c r="N1100" s="11"/>
      <c r="O1100" s="11"/>
      <c r="P1100" s="11"/>
    </row>
    <row r="1101" spans="7:16" x14ac:dyDescent="0.25">
      <c r="G1101" s="17"/>
      <c r="H1101" s="12"/>
      <c r="I1101" s="12"/>
      <c r="J1101" s="12"/>
      <c r="K1101" s="12"/>
      <c r="L1101" s="12"/>
      <c r="M1101" s="11"/>
      <c r="N1101" s="11"/>
      <c r="O1101" s="11"/>
      <c r="P1101" s="11"/>
    </row>
    <row r="1102" spans="7:16" x14ac:dyDescent="0.25">
      <c r="G1102" s="17"/>
      <c r="H1102" s="12"/>
      <c r="I1102" s="12"/>
      <c r="J1102" s="12"/>
      <c r="K1102" s="12"/>
      <c r="L1102" s="12"/>
      <c r="M1102" s="11"/>
      <c r="N1102" s="11"/>
      <c r="O1102" s="11"/>
      <c r="P1102" s="11"/>
    </row>
    <row r="1103" spans="7:16" x14ac:dyDescent="0.25">
      <c r="G1103" s="17"/>
      <c r="H1103" s="12"/>
      <c r="I1103" s="12"/>
      <c r="J1103" s="12"/>
      <c r="K1103" s="12"/>
      <c r="L1103" s="12"/>
      <c r="M1103" s="11"/>
      <c r="N1103" s="11"/>
      <c r="O1103" s="11"/>
      <c r="P1103" s="11"/>
    </row>
    <row r="1104" spans="7:16" x14ac:dyDescent="0.25">
      <c r="G1104" s="17"/>
      <c r="H1104" s="12"/>
      <c r="I1104" s="12"/>
      <c r="J1104" s="12"/>
      <c r="K1104" s="12"/>
      <c r="L1104" s="12"/>
      <c r="M1104" s="11"/>
      <c r="N1104" s="11"/>
      <c r="O1104" s="11"/>
      <c r="P1104" s="11"/>
    </row>
    <row r="1105" spans="7:16" x14ac:dyDescent="0.25">
      <c r="G1105" s="17"/>
      <c r="H1105" s="12"/>
      <c r="I1105" s="12"/>
      <c r="J1105" s="12"/>
      <c r="K1105" s="12"/>
      <c r="L1105" s="12"/>
      <c r="M1105" s="11"/>
      <c r="N1105" s="11"/>
      <c r="O1105" s="11"/>
      <c r="P1105" s="11"/>
    </row>
    <row r="1106" spans="7:16" x14ac:dyDescent="0.25">
      <c r="G1106" s="17"/>
      <c r="H1106" s="12"/>
      <c r="I1106" s="12"/>
      <c r="J1106" s="12"/>
      <c r="K1106" s="12"/>
      <c r="L1106" s="12"/>
      <c r="M1106" s="11"/>
      <c r="N1106" s="11"/>
      <c r="O1106" s="11"/>
      <c r="P1106" s="11"/>
    </row>
    <row r="1107" spans="7:16" x14ac:dyDescent="0.25">
      <c r="G1107" s="17"/>
      <c r="H1107" s="12"/>
      <c r="I1107" s="12"/>
      <c r="J1107" s="12"/>
      <c r="K1107" s="12"/>
      <c r="L1107" s="12"/>
      <c r="M1107" s="11"/>
      <c r="N1107" s="11"/>
      <c r="O1107" s="11"/>
      <c r="P1107" s="11"/>
    </row>
    <row r="1108" spans="7:16" x14ac:dyDescent="0.25">
      <c r="G1108" s="17"/>
      <c r="H1108" s="12"/>
      <c r="I1108" s="12"/>
      <c r="J1108" s="12"/>
      <c r="K1108" s="12"/>
      <c r="L1108" s="12"/>
      <c r="M1108" s="11"/>
      <c r="N1108" s="11"/>
      <c r="O1108" s="11"/>
      <c r="P1108" s="11"/>
    </row>
    <row r="1109" spans="7:16" x14ac:dyDescent="0.25">
      <c r="G1109" s="17"/>
      <c r="H1109" s="12"/>
      <c r="I1109" s="12"/>
      <c r="J1109" s="12"/>
      <c r="K1109" s="12"/>
      <c r="L1109" s="12"/>
      <c r="M1109" s="11"/>
      <c r="N1109" s="11"/>
      <c r="O1109" s="11"/>
      <c r="P1109" s="11"/>
    </row>
    <row r="1110" spans="7:16" x14ac:dyDescent="0.25">
      <c r="G1110" s="17"/>
      <c r="H1110" s="12"/>
      <c r="I1110" s="12"/>
      <c r="J1110" s="12"/>
      <c r="K1110" s="12"/>
      <c r="L1110" s="12"/>
      <c r="M1110" s="11"/>
      <c r="N1110" s="11"/>
      <c r="O1110" s="11"/>
      <c r="P1110" s="11"/>
    </row>
    <row r="1111" spans="7:16" x14ac:dyDescent="0.25">
      <c r="G1111" s="17"/>
      <c r="H1111" s="12"/>
      <c r="I1111" s="12"/>
      <c r="J1111" s="12"/>
      <c r="K1111" s="12"/>
      <c r="L1111" s="12"/>
      <c r="M1111" s="11"/>
      <c r="N1111" s="11"/>
      <c r="O1111" s="11"/>
      <c r="P1111" s="11"/>
    </row>
    <row r="1112" spans="7:16" x14ac:dyDescent="0.25">
      <c r="G1112" s="17"/>
      <c r="H1112" s="12"/>
      <c r="I1112" s="12"/>
      <c r="J1112" s="12"/>
      <c r="K1112" s="12"/>
      <c r="L1112" s="12"/>
      <c r="M1112" s="11"/>
      <c r="N1112" s="11"/>
      <c r="O1112" s="11"/>
      <c r="P1112" s="11"/>
    </row>
    <row r="1113" spans="7:16" x14ac:dyDescent="0.25">
      <c r="G1113" s="17"/>
      <c r="H1113" s="12"/>
      <c r="I1113" s="12"/>
      <c r="J1113" s="12"/>
      <c r="K1113" s="12"/>
      <c r="L1113" s="12"/>
      <c r="M1113" s="11"/>
      <c r="N1113" s="11"/>
      <c r="O1113" s="11"/>
      <c r="P1113" s="11"/>
    </row>
    <row r="1114" spans="7:16" x14ac:dyDescent="0.25">
      <c r="G1114" s="17"/>
      <c r="H1114" s="12"/>
      <c r="I1114" s="12"/>
      <c r="J1114" s="12"/>
      <c r="K1114" s="12"/>
      <c r="L1114" s="12"/>
      <c r="M1114" s="11"/>
      <c r="N1114" s="11"/>
      <c r="O1114" s="11"/>
      <c r="P1114" s="11"/>
    </row>
    <row r="1115" spans="7:16" x14ac:dyDescent="0.25">
      <c r="G1115" s="17"/>
      <c r="H1115" s="12"/>
      <c r="I1115" s="12"/>
      <c r="J1115" s="12"/>
      <c r="K1115" s="12"/>
      <c r="L1115" s="12"/>
      <c r="M1115" s="11"/>
      <c r="N1115" s="11"/>
      <c r="O1115" s="11"/>
      <c r="P1115" s="11"/>
    </row>
    <row r="1116" spans="7:16" x14ac:dyDescent="0.25">
      <c r="G1116" s="17"/>
      <c r="H1116" s="12"/>
      <c r="I1116" s="12"/>
      <c r="J1116" s="12"/>
      <c r="K1116" s="12"/>
      <c r="L1116" s="12"/>
      <c r="M1116" s="11"/>
      <c r="N1116" s="11"/>
      <c r="O1116" s="11"/>
      <c r="P1116" s="11"/>
    </row>
    <row r="1117" spans="7:16" x14ac:dyDescent="0.25">
      <c r="G1117" s="17"/>
      <c r="H1117" s="12"/>
      <c r="I1117" s="12"/>
      <c r="J1117" s="12"/>
      <c r="K1117" s="12"/>
      <c r="L1117" s="12"/>
      <c r="M1117" s="11"/>
      <c r="N1117" s="11"/>
      <c r="O1117" s="11"/>
      <c r="P1117" s="11"/>
    </row>
    <row r="1118" spans="7:16" x14ac:dyDescent="0.25">
      <c r="G1118" s="17"/>
      <c r="H1118" s="12"/>
      <c r="I1118" s="12"/>
      <c r="J1118" s="12"/>
      <c r="K1118" s="12"/>
      <c r="L1118" s="12"/>
      <c r="M1118" s="11"/>
      <c r="N1118" s="11"/>
      <c r="O1118" s="11"/>
      <c r="P1118" s="11"/>
    </row>
    <row r="1119" spans="7:16" x14ac:dyDescent="0.25">
      <c r="G1119" s="17"/>
      <c r="H1119" s="12"/>
      <c r="I1119" s="12"/>
      <c r="J1119" s="12"/>
      <c r="K1119" s="12"/>
      <c r="L1119" s="12"/>
      <c r="M1119" s="11"/>
      <c r="N1119" s="11"/>
      <c r="O1119" s="11"/>
      <c r="P1119" s="11"/>
    </row>
    <row r="1120" spans="7:16" x14ac:dyDescent="0.25">
      <c r="G1120" s="17"/>
      <c r="H1120" s="12"/>
      <c r="I1120" s="12"/>
      <c r="J1120" s="12"/>
      <c r="K1120" s="12"/>
      <c r="L1120" s="12"/>
      <c r="M1120" s="11"/>
      <c r="N1120" s="11"/>
      <c r="O1120" s="11"/>
      <c r="P1120" s="11"/>
    </row>
    <row r="1121" spans="7:16" x14ac:dyDescent="0.25">
      <c r="G1121" s="17"/>
      <c r="H1121" s="12"/>
      <c r="I1121" s="12"/>
      <c r="J1121" s="12"/>
      <c r="K1121" s="12"/>
      <c r="L1121" s="12"/>
      <c r="M1121" s="11"/>
      <c r="N1121" s="11"/>
      <c r="O1121" s="11"/>
      <c r="P1121" s="11"/>
    </row>
    <row r="1122" spans="7:16" x14ac:dyDescent="0.25">
      <c r="G1122" s="17"/>
      <c r="H1122" s="12"/>
      <c r="I1122" s="12"/>
      <c r="J1122" s="12"/>
      <c r="K1122" s="12"/>
      <c r="L1122" s="12"/>
      <c r="M1122" s="11"/>
      <c r="N1122" s="11"/>
      <c r="O1122" s="11"/>
      <c r="P1122" s="11"/>
    </row>
    <row r="1123" spans="7:16" x14ac:dyDescent="0.25">
      <c r="G1123" s="17"/>
      <c r="H1123" s="12"/>
      <c r="I1123" s="12"/>
      <c r="J1123" s="12"/>
      <c r="K1123" s="12"/>
      <c r="L1123" s="12"/>
      <c r="M1123" s="11"/>
      <c r="N1123" s="11"/>
      <c r="O1123" s="11"/>
      <c r="P1123" s="11"/>
    </row>
    <row r="1124" spans="7:16" x14ac:dyDescent="0.25">
      <c r="G1124" s="17"/>
      <c r="H1124" s="12"/>
      <c r="I1124" s="12"/>
      <c r="J1124" s="12"/>
      <c r="K1124" s="12"/>
      <c r="L1124" s="12"/>
      <c r="M1124" s="11"/>
      <c r="N1124" s="11"/>
      <c r="O1124" s="11"/>
      <c r="P1124" s="11"/>
    </row>
    <row r="1125" spans="7:16" x14ac:dyDescent="0.25">
      <c r="G1125" s="17"/>
      <c r="H1125" s="12"/>
      <c r="I1125" s="12"/>
      <c r="J1125" s="12"/>
      <c r="K1125" s="12"/>
      <c r="L1125" s="12"/>
      <c r="M1125" s="11"/>
      <c r="N1125" s="11"/>
      <c r="O1125" s="11"/>
      <c r="P1125" s="11"/>
    </row>
    <row r="1126" spans="7:16" x14ac:dyDescent="0.25">
      <c r="G1126" s="17"/>
      <c r="H1126" s="12"/>
      <c r="I1126" s="12"/>
      <c r="J1126" s="12"/>
      <c r="K1126" s="12"/>
      <c r="L1126" s="12"/>
      <c r="M1126" s="11"/>
      <c r="N1126" s="11"/>
      <c r="O1126" s="11"/>
      <c r="P1126" s="11"/>
    </row>
    <row r="1127" spans="7:16" x14ac:dyDescent="0.25">
      <c r="G1127" s="17"/>
      <c r="H1127" s="12"/>
      <c r="I1127" s="12"/>
      <c r="J1127" s="12"/>
      <c r="K1127" s="12"/>
      <c r="L1127" s="12"/>
      <c r="M1127" s="11"/>
      <c r="N1127" s="11"/>
      <c r="O1127" s="11"/>
      <c r="P1127" s="11"/>
    </row>
    <row r="1128" spans="7:16" x14ac:dyDescent="0.25">
      <c r="G1128" s="17"/>
      <c r="H1128" s="12"/>
      <c r="I1128" s="12"/>
      <c r="J1128" s="12"/>
      <c r="K1128" s="12"/>
      <c r="L1128" s="12"/>
      <c r="M1128" s="11"/>
      <c r="N1128" s="11"/>
      <c r="O1128" s="11"/>
      <c r="P1128" s="11"/>
    </row>
    <row r="1129" spans="7:16" x14ac:dyDescent="0.25">
      <c r="G1129" s="17"/>
      <c r="H1129" s="12"/>
      <c r="I1129" s="12"/>
      <c r="J1129" s="12"/>
      <c r="K1129" s="12"/>
      <c r="L1129" s="12"/>
      <c r="M1129" s="11"/>
      <c r="N1129" s="11"/>
      <c r="O1129" s="11"/>
      <c r="P1129" s="11"/>
    </row>
    <row r="1130" spans="7:16" x14ac:dyDescent="0.25">
      <c r="G1130" s="17"/>
      <c r="H1130" s="12"/>
      <c r="I1130" s="12"/>
      <c r="J1130" s="12"/>
      <c r="K1130" s="12"/>
      <c r="L1130" s="12"/>
      <c r="M1130" s="11"/>
      <c r="N1130" s="11"/>
      <c r="O1130" s="11"/>
      <c r="P1130" s="11"/>
    </row>
    <row r="1131" spans="7:16" x14ac:dyDescent="0.25">
      <c r="G1131" s="17"/>
      <c r="H1131" s="12"/>
      <c r="I1131" s="12"/>
      <c r="J1131" s="12"/>
      <c r="K1131" s="12"/>
      <c r="L1131" s="12"/>
      <c r="M1131" s="11"/>
      <c r="N1131" s="11"/>
      <c r="O1131" s="11"/>
      <c r="P1131" s="11"/>
    </row>
    <row r="1132" spans="7:16" x14ac:dyDescent="0.25">
      <c r="G1132" s="17"/>
      <c r="H1132" s="12"/>
      <c r="I1132" s="12"/>
      <c r="J1132" s="12"/>
      <c r="K1132" s="12"/>
      <c r="L1132" s="12"/>
      <c r="M1132" s="11"/>
      <c r="N1132" s="11"/>
      <c r="O1132" s="11"/>
      <c r="P1132" s="11"/>
    </row>
    <row r="1133" spans="7:16" x14ac:dyDescent="0.25">
      <c r="G1133" s="17"/>
      <c r="H1133" s="12"/>
      <c r="I1133" s="12"/>
      <c r="J1133" s="12"/>
      <c r="K1133" s="12"/>
      <c r="L1133" s="12"/>
      <c r="M1133" s="11"/>
      <c r="N1133" s="11"/>
      <c r="O1133" s="11"/>
      <c r="P1133" s="11"/>
    </row>
    <row r="1134" spans="7:16" x14ac:dyDescent="0.25">
      <c r="G1134" s="17"/>
      <c r="H1134" s="12"/>
      <c r="I1134" s="12"/>
      <c r="J1134" s="12"/>
      <c r="K1134" s="12"/>
      <c r="L1134" s="12"/>
      <c r="M1134" s="11"/>
      <c r="N1134" s="11"/>
      <c r="O1134" s="11"/>
      <c r="P1134" s="11"/>
    </row>
    <row r="1135" spans="7:16" x14ac:dyDescent="0.25">
      <c r="G1135" s="17"/>
      <c r="H1135" s="12"/>
      <c r="I1135" s="12"/>
      <c r="J1135" s="12"/>
      <c r="K1135" s="12"/>
      <c r="L1135" s="12"/>
      <c r="M1135" s="11"/>
      <c r="N1135" s="11"/>
      <c r="O1135" s="11"/>
      <c r="P1135" s="11"/>
    </row>
    <row r="1136" spans="7:16" x14ac:dyDescent="0.25">
      <c r="G1136" s="17"/>
      <c r="H1136" s="12"/>
      <c r="I1136" s="12"/>
      <c r="J1136" s="12"/>
      <c r="K1136" s="12"/>
      <c r="L1136" s="12"/>
      <c r="M1136" s="11"/>
      <c r="N1136" s="11"/>
      <c r="O1136" s="11"/>
      <c r="P1136" s="11"/>
    </row>
    <row r="1137" spans="7:16" x14ac:dyDescent="0.25">
      <c r="G1137" s="17"/>
      <c r="H1137" s="12"/>
      <c r="I1137" s="12"/>
      <c r="J1137" s="12"/>
      <c r="K1137" s="12"/>
      <c r="L1137" s="12"/>
      <c r="M1137" s="11"/>
      <c r="N1137" s="11"/>
      <c r="O1137" s="11"/>
      <c r="P1137" s="11"/>
    </row>
    <row r="1138" spans="7:16" x14ac:dyDescent="0.25">
      <c r="G1138" s="17"/>
      <c r="H1138" s="12"/>
      <c r="I1138" s="12"/>
      <c r="J1138" s="12"/>
      <c r="K1138" s="12"/>
      <c r="L1138" s="12"/>
      <c r="M1138" s="11"/>
      <c r="N1138" s="11"/>
      <c r="O1138" s="11"/>
      <c r="P1138" s="11"/>
    </row>
    <row r="1139" spans="7:16" x14ac:dyDescent="0.25">
      <c r="G1139" s="17"/>
      <c r="H1139" s="12"/>
      <c r="I1139" s="12"/>
      <c r="J1139" s="12"/>
      <c r="K1139" s="12"/>
      <c r="L1139" s="12"/>
      <c r="M1139" s="11"/>
      <c r="N1139" s="11"/>
      <c r="O1139" s="11"/>
      <c r="P1139" s="11"/>
    </row>
    <row r="1140" spans="7:16" x14ac:dyDescent="0.25">
      <c r="G1140" s="17"/>
      <c r="H1140" s="12"/>
      <c r="I1140" s="12"/>
      <c r="J1140" s="12"/>
      <c r="K1140" s="12"/>
      <c r="L1140" s="12"/>
      <c r="M1140" s="11"/>
      <c r="N1140" s="11"/>
      <c r="O1140" s="11"/>
      <c r="P1140" s="11"/>
    </row>
    <row r="1141" spans="7:16" x14ac:dyDescent="0.25">
      <c r="G1141" s="17"/>
      <c r="H1141" s="12"/>
      <c r="I1141" s="12"/>
      <c r="J1141" s="12"/>
      <c r="K1141" s="12"/>
      <c r="L1141" s="12"/>
      <c r="M1141" s="11"/>
      <c r="N1141" s="11"/>
      <c r="O1141" s="11"/>
      <c r="P1141" s="11"/>
    </row>
    <row r="1142" spans="7:16" x14ac:dyDescent="0.25">
      <c r="G1142" s="17"/>
      <c r="H1142" s="12"/>
      <c r="I1142" s="12"/>
      <c r="J1142" s="12"/>
      <c r="K1142" s="12"/>
      <c r="L1142" s="12"/>
      <c r="M1142" s="11"/>
      <c r="N1142" s="11"/>
      <c r="O1142" s="11"/>
      <c r="P1142" s="11"/>
    </row>
    <row r="1143" spans="7:16" x14ac:dyDescent="0.25">
      <c r="G1143" s="17"/>
      <c r="H1143" s="12"/>
      <c r="I1143" s="12"/>
      <c r="J1143" s="12"/>
      <c r="K1143" s="12"/>
      <c r="L1143" s="12"/>
      <c r="M1143" s="11"/>
      <c r="N1143" s="11"/>
      <c r="O1143" s="11"/>
      <c r="P1143" s="11"/>
    </row>
    <row r="1144" spans="7:16" x14ac:dyDescent="0.25">
      <c r="G1144" s="17"/>
      <c r="H1144" s="12"/>
      <c r="I1144" s="12"/>
      <c r="J1144" s="12"/>
      <c r="K1144" s="12"/>
      <c r="L1144" s="12"/>
      <c r="M1144" s="11"/>
      <c r="N1144" s="11"/>
      <c r="O1144" s="11"/>
      <c r="P1144" s="11"/>
    </row>
    <row r="1145" spans="7:16" x14ac:dyDescent="0.25">
      <c r="G1145" s="17"/>
      <c r="H1145" s="12"/>
      <c r="I1145" s="12"/>
      <c r="J1145" s="12"/>
      <c r="K1145" s="12"/>
      <c r="L1145" s="12"/>
      <c r="M1145" s="11"/>
      <c r="N1145" s="11"/>
      <c r="O1145" s="11"/>
      <c r="P1145" s="11"/>
    </row>
    <row r="1146" spans="7:16" x14ac:dyDescent="0.25">
      <c r="G1146" s="17"/>
      <c r="H1146" s="12"/>
      <c r="I1146" s="12"/>
      <c r="J1146" s="12"/>
      <c r="K1146" s="12"/>
      <c r="L1146" s="12"/>
      <c r="M1146" s="11"/>
      <c r="N1146" s="11"/>
      <c r="O1146" s="11"/>
      <c r="P1146" s="11"/>
    </row>
    <row r="1147" spans="7:16" x14ac:dyDescent="0.25">
      <c r="G1147" s="17"/>
      <c r="H1147" s="12"/>
      <c r="I1147" s="12"/>
      <c r="J1147" s="12"/>
      <c r="K1147" s="12"/>
      <c r="L1147" s="12"/>
      <c r="M1147" s="11"/>
      <c r="N1147" s="11"/>
      <c r="O1147" s="11"/>
      <c r="P1147" s="11"/>
    </row>
    <row r="1148" spans="7:16" x14ac:dyDescent="0.25">
      <c r="G1148" s="17"/>
      <c r="H1148" s="12"/>
      <c r="I1148" s="12"/>
      <c r="J1148" s="12"/>
      <c r="K1148" s="12"/>
      <c r="L1148" s="12"/>
      <c r="M1148" s="11"/>
      <c r="N1148" s="11"/>
      <c r="O1148" s="11"/>
      <c r="P1148" s="11"/>
    </row>
    <row r="1149" spans="7:16" x14ac:dyDescent="0.25">
      <c r="G1149" s="17"/>
      <c r="H1149" s="12"/>
      <c r="I1149" s="12"/>
      <c r="J1149" s="12"/>
      <c r="K1149" s="12"/>
      <c r="L1149" s="12"/>
      <c r="M1149" s="11"/>
      <c r="N1149" s="11"/>
      <c r="O1149" s="11"/>
      <c r="P1149" s="11"/>
    </row>
    <row r="1150" spans="7:16" x14ac:dyDescent="0.25">
      <c r="G1150" s="17"/>
      <c r="H1150" s="12"/>
      <c r="I1150" s="12"/>
      <c r="J1150" s="12"/>
      <c r="K1150" s="12"/>
      <c r="L1150" s="12"/>
      <c r="M1150" s="11"/>
      <c r="N1150" s="11"/>
      <c r="O1150" s="11"/>
      <c r="P1150" s="11"/>
    </row>
    <row r="1151" spans="7:16" x14ac:dyDescent="0.25">
      <c r="G1151" s="17"/>
      <c r="H1151" s="12"/>
      <c r="I1151" s="12"/>
      <c r="J1151" s="12"/>
      <c r="K1151" s="12"/>
      <c r="L1151" s="12"/>
      <c r="M1151" s="11"/>
      <c r="N1151" s="11"/>
      <c r="O1151" s="11"/>
      <c r="P1151" s="11"/>
    </row>
    <row r="1152" spans="7:16" x14ac:dyDescent="0.25">
      <c r="G1152" s="17"/>
      <c r="H1152" s="12"/>
      <c r="I1152" s="12"/>
      <c r="J1152" s="12"/>
      <c r="K1152" s="12"/>
      <c r="L1152" s="12"/>
      <c r="M1152" s="11"/>
      <c r="N1152" s="11"/>
      <c r="O1152" s="11"/>
      <c r="P1152" s="11"/>
    </row>
    <row r="1153" spans="7:16" x14ac:dyDescent="0.25">
      <c r="G1153" s="17"/>
      <c r="H1153" s="12"/>
      <c r="I1153" s="12"/>
      <c r="J1153" s="12"/>
      <c r="K1153" s="12"/>
      <c r="L1153" s="12"/>
      <c r="M1153" s="11"/>
      <c r="N1153" s="11"/>
      <c r="O1153" s="11"/>
      <c r="P1153" s="11"/>
    </row>
    <row r="1154" spans="7:16" x14ac:dyDescent="0.25">
      <c r="G1154" s="17"/>
      <c r="H1154" s="12"/>
      <c r="I1154" s="12"/>
      <c r="J1154" s="12"/>
      <c r="K1154" s="12"/>
      <c r="L1154" s="12"/>
      <c r="M1154" s="11"/>
      <c r="N1154" s="11"/>
      <c r="O1154" s="11"/>
      <c r="P1154" s="11"/>
    </row>
    <row r="1155" spans="7:16" x14ac:dyDescent="0.25">
      <c r="G1155" s="17"/>
      <c r="H1155" s="12"/>
      <c r="I1155" s="12"/>
      <c r="J1155" s="12"/>
      <c r="K1155" s="12"/>
      <c r="L1155" s="12"/>
      <c r="M1155" s="11"/>
      <c r="N1155" s="11"/>
      <c r="O1155" s="11"/>
      <c r="P1155" s="11"/>
    </row>
    <row r="1156" spans="7:16" x14ac:dyDescent="0.25">
      <c r="G1156" s="17"/>
      <c r="H1156" s="12"/>
      <c r="I1156" s="12"/>
      <c r="J1156" s="12"/>
      <c r="K1156" s="12"/>
      <c r="L1156" s="12"/>
      <c r="M1156" s="11"/>
      <c r="N1156" s="11"/>
      <c r="O1156" s="11"/>
      <c r="P1156" s="11"/>
    </row>
    <row r="1157" spans="7:16" x14ac:dyDescent="0.25">
      <c r="G1157" s="17"/>
      <c r="H1157" s="12"/>
      <c r="I1157" s="12"/>
      <c r="J1157" s="12"/>
      <c r="K1157" s="12"/>
      <c r="L1157" s="12"/>
      <c r="M1157" s="11"/>
      <c r="N1157" s="11"/>
      <c r="O1157" s="11"/>
      <c r="P1157" s="11"/>
    </row>
    <row r="1158" spans="7:16" x14ac:dyDescent="0.25">
      <c r="G1158" s="17"/>
      <c r="H1158" s="12"/>
      <c r="I1158" s="12"/>
      <c r="J1158" s="12"/>
      <c r="K1158" s="12"/>
      <c r="L1158" s="12"/>
      <c r="M1158" s="11"/>
      <c r="N1158" s="11"/>
      <c r="O1158" s="11"/>
      <c r="P1158" s="11"/>
    </row>
    <row r="1159" spans="7:16" x14ac:dyDescent="0.25">
      <c r="G1159" s="17"/>
      <c r="H1159" s="12"/>
      <c r="I1159" s="12"/>
      <c r="J1159" s="12"/>
      <c r="K1159" s="12"/>
      <c r="L1159" s="12"/>
      <c r="M1159" s="11"/>
      <c r="N1159" s="11"/>
      <c r="O1159" s="11"/>
      <c r="P1159" s="11"/>
    </row>
    <row r="1160" spans="7:16" x14ac:dyDescent="0.25">
      <c r="G1160" s="17"/>
      <c r="H1160" s="12"/>
      <c r="I1160" s="12"/>
      <c r="J1160" s="12"/>
      <c r="K1160" s="12"/>
      <c r="L1160" s="12"/>
      <c r="M1160" s="11"/>
      <c r="N1160" s="11"/>
      <c r="O1160" s="11"/>
      <c r="P1160" s="11"/>
    </row>
    <row r="1161" spans="7:16" x14ac:dyDescent="0.25">
      <c r="G1161" s="17"/>
      <c r="H1161" s="12"/>
      <c r="I1161" s="12"/>
      <c r="J1161" s="12"/>
      <c r="K1161" s="12"/>
      <c r="L1161" s="12"/>
      <c r="M1161" s="11"/>
      <c r="N1161" s="11"/>
      <c r="O1161" s="11"/>
      <c r="P1161" s="11"/>
    </row>
    <row r="1162" spans="7:16" x14ac:dyDescent="0.25">
      <c r="G1162" s="17"/>
      <c r="H1162" s="12"/>
      <c r="I1162" s="12"/>
      <c r="J1162" s="12"/>
      <c r="K1162" s="12"/>
      <c r="L1162" s="12"/>
      <c r="M1162" s="11"/>
      <c r="N1162" s="11"/>
      <c r="O1162" s="11"/>
      <c r="P1162" s="11"/>
    </row>
    <row r="1163" spans="7:16" x14ac:dyDescent="0.25">
      <c r="G1163" s="17"/>
      <c r="H1163" s="12"/>
      <c r="I1163" s="12"/>
      <c r="J1163" s="12"/>
      <c r="K1163" s="12"/>
      <c r="L1163" s="12"/>
      <c r="M1163" s="11"/>
      <c r="N1163" s="11"/>
      <c r="O1163" s="11"/>
      <c r="P1163" s="11"/>
    </row>
    <row r="1164" spans="7:16" x14ac:dyDescent="0.25">
      <c r="G1164" s="17"/>
      <c r="H1164" s="12"/>
      <c r="I1164" s="12"/>
      <c r="J1164" s="12"/>
      <c r="K1164" s="12"/>
      <c r="L1164" s="12"/>
      <c r="M1164" s="11"/>
      <c r="N1164" s="11"/>
      <c r="O1164" s="11"/>
      <c r="P1164" s="11"/>
    </row>
    <row r="1165" spans="7:16" x14ac:dyDescent="0.25">
      <c r="G1165" s="17"/>
      <c r="H1165" s="12"/>
      <c r="I1165" s="12"/>
      <c r="J1165" s="12"/>
      <c r="K1165" s="12"/>
      <c r="L1165" s="12"/>
      <c r="M1165" s="11"/>
      <c r="N1165" s="11"/>
      <c r="O1165" s="11"/>
      <c r="P1165" s="11"/>
    </row>
    <row r="1166" spans="7:16" x14ac:dyDescent="0.25">
      <c r="G1166" s="17"/>
      <c r="H1166" s="12"/>
      <c r="I1166" s="12"/>
      <c r="J1166" s="12"/>
      <c r="K1166" s="12"/>
      <c r="L1166" s="12"/>
      <c r="M1166" s="11"/>
      <c r="N1166" s="11"/>
      <c r="O1166" s="11"/>
      <c r="P1166" s="11"/>
    </row>
    <row r="1167" spans="7:16" x14ac:dyDescent="0.25">
      <c r="G1167" s="17"/>
      <c r="H1167" s="12"/>
      <c r="I1167" s="12"/>
      <c r="J1167" s="12"/>
      <c r="K1167" s="12"/>
      <c r="L1167" s="12"/>
      <c r="M1167" s="11"/>
      <c r="N1167" s="11"/>
      <c r="O1167" s="11"/>
      <c r="P1167" s="11"/>
    </row>
    <row r="1168" spans="7:16" x14ac:dyDescent="0.25">
      <c r="G1168" s="17"/>
      <c r="H1168" s="12"/>
      <c r="I1168" s="12"/>
      <c r="J1168" s="12"/>
      <c r="K1168" s="12"/>
      <c r="L1168" s="12"/>
      <c r="M1168" s="11"/>
      <c r="N1168" s="11"/>
      <c r="O1168" s="11"/>
      <c r="P1168" s="11"/>
    </row>
    <row r="1169" spans="7:16" x14ac:dyDescent="0.25">
      <c r="G1169" s="17"/>
      <c r="H1169" s="12"/>
      <c r="I1169" s="12"/>
      <c r="J1169" s="12"/>
      <c r="K1169" s="12"/>
      <c r="L1169" s="12"/>
      <c r="M1169" s="11"/>
      <c r="N1169" s="11"/>
      <c r="O1169" s="11"/>
      <c r="P1169" s="11"/>
    </row>
    <row r="1170" spans="7:16" x14ac:dyDescent="0.25">
      <c r="G1170" s="17"/>
      <c r="H1170" s="12"/>
      <c r="I1170" s="12"/>
      <c r="J1170" s="12"/>
      <c r="K1170" s="12"/>
      <c r="L1170" s="12"/>
      <c r="M1170" s="11"/>
      <c r="N1170" s="11"/>
      <c r="O1170" s="11"/>
      <c r="P1170" s="11"/>
    </row>
    <row r="1171" spans="7:16" x14ac:dyDescent="0.25">
      <c r="G1171" s="17"/>
      <c r="H1171" s="12"/>
      <c r="I1171" s="12"/>
      <c r="J1171" s="12"/>
      <c r="K1171" s="12"/>
      <c r="L1171" s="12"/>
      <c r="M1171" s="11"/>
      <c r="N1171" s="11"/>
      <c r="O1171" s="11"/>
      <c r="P1171" s="11"/>
    </row>
    <row r="1172" spans="7:16" x14ac:dyDescent="0.25">
      <c r="G1172" s="17"/>
      <c r="H1172" s="12"/>
      <c r="I1172" s="12"/>
      <c r="J1172" s="12"/>
      <c r="K1172" s="12"/>
      <c r="L1172" s="12"/>
      <c r="M1172" s="11"/>
      <c r="N1172" s="11"/>
      <c r="O1172" s="11"/>
      <c r="P1172" s="11"/>
    </row>
    <row r="1173" spans="7:16" x14ac:dyDescent="0.25">
      <c r="G1173" s="17"/>
      <c r="H1173" s="12"/>
      <c r="I1173" s="12"/>
      <c r="J1173" s="12"/>
      <c r="K1173" s="12"/>
      <c r="L1173" s="12"/>
      <c r="M1173" s="11"/>
      <c r="N1173" s="11"/>
      <c r="O1173" s="11"/>
      <c r="P1173" s="11"/>
    </row>
    <row r="1174" spans="7:16" x14ac:dyDescent="0.25">
      <c r="G1174" s="17"/>
      <c r="H1174" s="12"/>
      <c r="I1174" s="12"/>
      <c r="J1174" s="12"/>
      <c r="K1174" s="12"/>
      <c r="L1174" s="12"/>
      <c r="M1174" s="11"/>
      <c r="N1174" s="11"/>
      <c r="O1174" s="11"/>
      <c r="P1174" s="11"/>
    </row>
    <row r="1175" spans="7:16" x14ac:dyDescent="0.25">
      <c r="G1175" s="17"/>
      <c r="H1175" s="12"/>
      <c r="I1175" s="12"/>
      <c r="J1175" s="12"/>
      <c r="K1175" s="12"/>
      <c r="L1175" s="12"/>
      <c r="M1175" s="11"/>
      <c r="N1175" s="11"/>
      <c r="O1175" s="11"/>
      <c r="P1175" s="11"/>
    </row>
    <row r="1176" spans="7:16" x14ac:dyDescent="0.25">
      <c r="G1176" s="17"/>
      <c r="H1176" s="12"/>
      <c r="I1176" s="12"/>
      <c r="J1176" s="12"/>
      <c r="K1176" s="12"/>
      <c r="L1176" s="12"/>
      <c r="M1176" s="11"/>
      <c r="N1176" s="11"/>
      <c r="O1176" s="11"/>
      <c r="P1176" s="11"/>
    </row>
    <row r="1177" spans="7:16" x14ac:dyDescent="0.25">
      <c r="G1177" s="17"/>
      <c r="H1177" s="12"/>
      <c r="I1177" s="12"/>
      <c r="J1177" s="12"/>
      <c r="K1177" s="12"/>
      <c r="L1177" s="12"/>
      <c r="M1177" s="11"/>
      <c r="N1177" s="11"/>
      <c r="O1177" s="11"/>
      <c r="P1177" s="11"/>
    </row>
    <row r="1178" spans="7:16" x14ac:dyDescent="0.25">
      <c r="G1178" s="17"/>
      <c r="H1178" s="12"/>
      <c r="I1178" s="12"/>
      <c r="J1178" s="12"/>
      <c r="K1178" s="12"/>
      <c r="L1178" s="12"/>
      <c r="M1178" s="11"/>
      <c r="N1178" s="11"/>
      <c r="O1178" s="11"/>
      <c r="P1178" s="11"/>
    </row>
    <row r="1179" spans="7:16" x14ac:dyDescent="0.25">
      <c r="G1179" s="17"/>
      <c r="H1179" s="12"/>
      <c r="I1179" s="12"/>
      <c r="J1179" s="12"/>
      <c r="K1179" s="12"/>
      <c r="L1179" s="12"/>
      <c r="M1179" s="11"/>
      <c r="N1179" s="11"/>
      <c r="O1179" s="11"/>
      <c r="P1179" s="11"/>
    </row>
    <row r="1180" spans="7:16" x14ac:dyDescent="0.25">
      <c r="G1180" s="17"/>
      <c r="H1180" s="12"/>
      <c r="I1180" s="12"/>
      <c r="J1180" s="12"/>
      <c r="K1180" s="12"/>
      <c r="L1180" s="12"/>
      <c r="M1180" s="11"/>
      <c r="N1180" s="11"/>
      <c r="O1180" s="11"/>
      <c r="P1180" s="11"/>
    </row>
    <row r="1181" spans="7:16" x14ac:dyDescent="0.25">
      <c r="G1181" s="17"/>
      <c r="H1181" s="12"/>
      <c r="I1181" s="12"/>
      <c r="J1181" s="12"/>
      <c r="K1181" s="12"/>
      <c r="L1181" s="12"/>
      <c r="M1181" s="11"/>
      <c r="N1181" s="11"/>
      <c r="O1181" s="11"/>
      <c r="P1181" s="11"/>
    </row>
    <row r="1182" spans="7:16" x14ac:dyDescent="0.25">
      <c r="G1182" s="17"/>
      <c r="H1182" s="12"/>
      <c r="I1182" s="12"/>
      <c r="J1182" s="12"/>
      <c r="K1182" s="12"/>
      <c r="L1182" s="12"/>
      <c r="M1182" s="11"/>
      <c r="N1182" s="11"/>
      <c r="O1182" s="11"/>
      <c r="P1182" s="11"/>
    </row>
    <row r="1183" spans="7:16" x14ac:dyDescent="0.25">
      <c r="G1183" s="17"/>
      <c r="H1183" s="12"/>
      <c r="I1183" s="12"/>
      <c r="J1183" s="12"/>
      <c r="K1183" s="12"/>
      <c r="L1183" s="12"/>
      <c r="M1183" s="11"/>
      <c r="N1183" s="11"/>
      <c r="O1183" s="11"/>
      <c r="P1183" s="11"/>
    </row>
    <row r="1184" spans="7:16" x14ac:dyDescent="0.25">
      <c r="G1184" s="17"/>
      <c r="H1184" s="12"/>
      <c r="I1184" s="12"/>
      <c r="J1184" s="12"/>
      <c r="K1184" s="12"/>
      <c r="L1184" s="12"/>
      <c r="M1184" s="11"/>
      <c r="N1184" s="11"/>
      <c r="O1184" s="11"/>
      <c r="P1184" s="11"/>
    </row>
    <row r="1185" spans="7:16" x14ac:dyDescent="0.25">
      <c r="G1185" s="17"/>
      <c r="H1185" s="12"/>
      <c r="I1185" s="12"/>
      <c r="J1185" s="12"/>
      <c r="K1185" s="12"/>
      <c r="L1185" s="12"/>
      <c r="M1185" s="11"/>
      <c r="N1185" s="11"/>
      <c r="O1185" s="11"/>
      <c r="P1185" s="11"/>
    </row>
    <row r="1186" spans="7:16" x14ac:dyDescent="0.25">
      <c r="G1186" s="17"/>
      <c r="H1186" s="12"/>
      <c r="I1186" s="12"/>
      <c r="J1186" s="12"/>
      <c r="K1186" s="12"/>
      <c r="L1186" s="12"/>
      <c r="M1186" s="11"/>
      <c r="N1186" s="11"/>
      <c r="O1186" s="11"/>
      <c r="P1186" s="11"/>
    </row>
    <row r="1187" spans="7:16" x14ac:dyDescent="0.25">
      <c r="G1187" s="17"/>
      <c r="H1187" s="12"/>
      <c r="I1187" s="12"/>
      <c r="J1187" s="12"/>
      <c r="K1187" s="12"/>
      <c r="L1187" s="12"/>
      <c r="M1187" s="11"/>
      <c r="N1187" s="11"/>
      <c r="O1187" s="11"/>
      <c r="P1187" s="11"/>
    </row>
    <row r="1188" spans="7:16" x14ac:dyDescent="0.25">
      <c r="G1188" s="17"/>
      <c r="H1188" s="12"/>
      <c r="I1188" s="12"/>
      <c r="J1188" s="12"/>
      <c r="K1188" s="12"/>
      <c r="L1188" s="12"/>
      <c r="M1188" s="11"/>
      <c r="N1188" s="11"/>
      <c r="O1188" s="11"/>
      <c r="P1188" s="11"/>
    </row>
    <row r="1189" spans="7:16" x14ac:dyDescent="0.25">
      <c r="G1189" s="17"/>
      <c r="H1189" s="12"/>
      <c r="I1189" s="12"/>
      <c r="J1189" s="12"/>
      <c r="K1189" s="12"/>
      <c r="L1189" s="12"/>
      <c r="M1189" s="11"/>
      <c r="N1189" s="11"/>
      <c r="O1189" s="11"/>
      <c r="P1189" s="11"/>
    </row>
    <row r="1190" spans="7:16" x14ac:dyDescent="0.25">
      <c r="G1190" s="17"/>
      <c r="H1190" s="12"/>
      <c r="I1190" s="12"/>
      <c r="J1190" s="12"/>
      <c r="K1190" s="12"/>
      <c r="L1190" s="12"/>
      <c r="M1190" s="11"/>
      <c r="N1190" s="11"/>
      <c r="O1190" s="11"/>
      <c r="P1190" s="11"/>
    </row>
    <row r="1191" spans="7:16" x14ac:dyDescent="0.25">
      <c r="G1191" s="17"/>
      <c r="H1191" s="12"/>
      <c r="I1191" s="12"/>
      <c r="J1191" s="12"/>
      <c r="K1191" s="12"/>
      <c r="L1191" s="12"/>
      <c r="M1191" s="11"/>
      <c r="N1191" s="11"/>
      <c r="O1191" s="11"/>
      <c r="P1191" s="11"/>
    </row>
    <row r="1192" spans="7:16" x14ac:dyDescent="0.25">
      <c r="G1192" s="17"/>
      <c r="H1192" s="12"/>
      <c r="I1192" s="12"/>
      <c r="J1192" s="12"/>
      <c r="K1192" s="12"/>
      <c r="L1192" s="12"/>
      <c r="M1192" s="11"/>
      <c r="N1192" s="11"/>
      <c r="O1192" s="11"/>
      <c r="P1192" s="11"/>
    </row>
    <row r="1193" spans="7:16" x14ac:dyDescent="0.25">
      <c r="G1193" s="17"/>
      <c r="H1193" s="12"/>
      <c r="I1193" s="12"/>
      <c r="J1193" s="12"/>
      <c r="K1193" s="12"/>
      <c r="L1193" s="12"/>
      <c r="M1193" s="11"/>
      <c r="N1193" s="11"/>
      <c r="O1193" s="11"/>
      <c r="P1193" s="11"/>
    </row>
    <row r="1194" spans="7:16" x14ac:dyDescent="0.25">
      <c r="G1194" s="17"/>
      <c r="H1194" s="12"/>
      <c r="I1194" s="12"/>
      <c r="J1194" s="12"/>
      <c r="K1194" s="12"/>
      <c r="L1194" s="12"/>
      <c r="M1194" s="11"/>
      <c r="N1194" s="11"/>
      <c r="O1194" s="11"/>
      <c r="P1194" s="11"/>
    </row>
    <row r="1195" spans="7:16" x14ac:dyDescent="0.25">
      <c r="G1195" s="17"/>
      <c r="H1195" s="12"/>
      <c r="I1195" s="12"/>
      <c r="J1195" s="12"/>
      <c r="K1195" s="12"/>
      <c r="L1195" s="12"/>
      <c r="M1195" s="11"/>
      <c r="N1195" s="11"/>
      <c r="O1195" s="11"/>
      <c r="P1195" s="11"/>
    </row>
    <row r="1196" spans="7:16" x14ac:dyDescent="0.25">
      <c r="G1196" s="17"/>
      <c r="H1196" s="12"/>
      <c r="I1196" s="12"/>
      <c r="J1196" s="12"/>
      <c r="K1196" s="12"/>
      <c r="L1196" s="12"/>
      <c r="M1196" s="11"/>
      <c r="N1196" s="11"/>
      <c r="O1196" s="11"/>
      <c r="P1196" s="11"/>
    </row>
    <row r="1197" spans="7:16" x14ac:dyDescent="0.25">
      <c r="G1197" s="17"/>
      <c r="H1197" s="12"/>
      <c r="I1197" s="12"/>
      <c r="J1197" s="12"/>
      <c r="K1197" s="12"/>
      <c r="L1197" s="12"/>
      <c r="M1197" s="11"/>
      <c r="N1197" s="11"/>
      <c r="O1197" s="11"/>
      <c r="P1197" s="11"/>
    </row>
    <row r="1198" spans="7:16" x14ac:dyDescent="0.25">
      <c r="G1198" s="17"/>
      <c r="H1198" s="12"/>
      <c r="I1198" s="12"/>
      <c r="J1198" s="12"/>
      <c r="K1198" s="12"/>
      <c r="L1198" s="12"/>
      <c r="M1198" s="11"/>
      <c r="N1198" s="11"/>
      <c r="O1198" s="11"/>
      <c r="P1198" s="11"/>
    </row>
    <row r="1199" spans="7:16" x14ac:dyDescent="0.25">
      <c r="G1199" s="17"/>
      <c r="H1199" s="12"/>
      <c r="I1199" s="12"/>
      <c r="J1199" s="12"/>
      <c r="K1199" s="12"/>
      <c r="L1199" s="12"/>
      <c r="M1199" s="11"/>
      <c r="N1199" s="11"/>
      <c r="O1199" s="11"/>
      <c r="P1199" s="11"/>
    </row>
    <row r="1200" spans="7:16" x14ac:dyDescent="0.25">
      <c r="G1200" s="17"/>
      <c r="H1200" s="12"/>
      <c r="I1200" s="12"/>
      <c r="J1200" s="12"/>
      <c r="K1200" s="12"/>
      <c r="L1200" s="12"/>
      <c r="M1200" s="11"/>
      <c r="N1200" s="11"/>
      <c r="O1200" s="11"/>
      <c r="P1200" s="11"/>
    </row>
    <row r="1201" spans="7:16" x14ac:dyDescent="0.25">
      <c r="G1201" s="17"/>
      <c r="H1201" s="12"/>
      <c r="I1201" s="12"/>
      <c r="J1201" s="12"/>
      <c r="K1201" s="12"/>
      <c r="L1201" s="12"/>
      <c r="M1201" s="11"/>
      <c r="N1201" s="11"/>
      <c r="O1201" s="11"/>
      <c r="P1201" s="11"/>
    </row>
    <row r="1202" spans="7:16" x14ac:dyDescent="0.25">
      <c r="G1202" s="17"/>
      <c r="H1202" s="12"/>
      <c r="I1202" s="12"/>
      <c r="J1202" s="12"/>
      <c r="K1202" s="12"/>
      <c r="L1202" s="12"/>
      <c r="M1202" s="11"/>
      <c r="N1202" s="11"/>
      <c r="O1202" s="11"/>
      <c r="P1202" s="11"/>
    </row>
    <row r="1203" spans="7:16" x14ac:dyDescent="0.25">
      <c r="G1203" s="17"/>
      <c r="H1203" s="12"/>
      <c r="I1203" s="12"/>
      <c r="J1203" s="12"/>
      <c r="K1203" s="12"/>
      <c r="L1203" s="12"/>
      <c r="M1203" s="11"/>
      <c r="N1203" s="11"/>
      <c r="O1203" s="11"/>
      <c r="P1203" s="11"/>
    </row>
    <row r="1204" spans="7:16" x14ac:dyDescent="0.25">
      <c r="G1204" s="17"/>
      <c r="H1204" s="12"/>
      <c r="I1204" s="12"/>
      <c r="J1204" s="12"/>
      <c r="K1204" s="12"/>
      <c r="L1204" s="12"/>
      <c r="M1204" s="11"/>
      <c r="N1204" s="11"/>
      <c r="O1204" s="11"/>
      <c r="P1204" s="11"/>
    </row>
    <row r="1205" spans="7:16" x14ac:dyDescent="0.25">
      <c r="G1205" s="17"/>
      <c r="H1205" s="12"/>
      <c r="I1205" s="12"/>
      <c r="J1205" s="12"/>
      <c r="K1205" s="12"/>
      <c r="L1205" s="12"/>
      <c r="M1205" s="11"/>
      <c r="N1205" s="11"/>
      <c r="O1205" s="11"/>
      <c r="P1205" s="11"/>
    </row>
    <row r="1206" spans="7:16" x14ac:dyDescent="0.25">
      <c r="G1206" s="17"/>
      <c r="H1206" s="12"/>
      <c r="I1206" s="12"/>
      <c r="J1206" s="12"/>
      <c r="K1206" s="12"/>
      <c r="L1206" s="12"/>
      <c r="M1206" s="11"/>
      <c r="N1206" s="11"/>
      <c r="O1206" s="11"/>
      <c r="P1206" s="11"/>
    </row>
    <row r="1207" spans="7:16" x14ac:dyDescent="0.25">
      <c r="G1207" s="17"/>
      <c r="H1207" s="12"/>
      <c r="I1207" s="12"/>
      <c r="J1207" s="12"/>
      <c r="K1207" s="12"/>
      <c r="L1207" s="12"/>
      <c r="M1207" s="11"/>
      <c r="N1207" s="11"/>
      <c r="O1207" s="11"/>
      <c r="P1207" s="11"/>
    </row>
    <row r="1208" spans="7:16" x14ac:dyDescent="0.25">
      <c r="G1208" s="17"/>
      <c r="H1208" s="12"/>
      <c r="I1208" s="12"/>
      <c r="J1208" s="12"/>
      <c r="K1208" s="12"/>
      <c r="L1208" s="12"/>
      <c r="M1208" s="11"/>
      <c r="N1208" s="11"/>
      <c r="O1208" s="11"/>
      <c r="P1208" s="11"/>
    </row>
    <row r="1209" spans="7:16" x14ac:dyDescent="0.25">
      <c r="G1209" s="17"/>
      <c r="H1209" s="12"/>
      <c r="I1209" s="12"/>
      <c r="J1209" s="12"/>
      <c r="K1209" s="12"/>
      <c r="L1209" s="12"/>
      <c r="M1209" s="11"/>
      <c r="N1209" s="11"/>
      <c r="O1209" s="11"/>
      <c r="P1209" s="11"/>
    </row>
    <row r="1210" spans="7:16" x14ac:dyDescent="0.25">
      <c r="G1210" s="17"/>
      <c r="H1210" s="12"/>
      <c r="I1210" s="12"/>
      <c r="J1210" s="12"/>
      <c r="K1210" s="12"/>
      <c r="L1210" s="12"/>
      <c r="M1210" s="11"/>
      <c r="N1210" s="11"/>
      <c r="O1210" s="11"/>
      <c r="P1210" s="11"/>
    </row>
    <row r="1211" spans="7:16" x14ac:dyDescent="0.25">
      <c r="G1211" s="17"/>
      <c r="H1211" s="12"/>
      <c r="I1211" s="12"/>
      <c r="J1211" s="12"/>
      <c r="K1211" s="12"/>
      <c r="L1211" s="12"/>
      <c r="M1211" s="11"/>
      <c r="N1211" s="11"/>
      <c r="O1211" s="11"/>
      <c r="P1211" s="11"/>
    </row>
    <row r="1212" spans="7:16" x14ac:dyDescent="0.25">
      <c r="G1212" s="17"/>
      <c r="H1212" s="12"/>
      <c r="I1212" s="12"/>
      <c r="J1212" s="12"/>
      <c r="K1212" s="12"/>
      <c r="L1212" s="12"/>
      <c r="M1212" s="11"/>
      <c r="N1212" s="11"/>
      <c r="O1212" s="11"/>
      <c r="P1212" s="11"/>
    </row>
    <row r="1213" spans="7:16" x14ac:dyDescent="0.25">
      <c r="G1213" s="17"/>
      <c r="H1213" s="12"/>
      <c r="I1213" s="12"/>
      <c r="J1213" s="12"/>
      <c r="K1213" s="12"/>
      <c r="L1213" s="12"/>
      <c r="M1213" s="11"/>
      <c r="N1213" s="11"/>
      <c r="O1213" s="11"/>
      <c r="P1213" s="11"/>
    </row>
    <row r="1214" spans="7:16" x14ac:dyDescent="0.25">
      <c r="G1214" s="17"/>
      <c r="H1214" s="12"/>
      <c r="I1214" s="12"/>
      <c r="J1214" s="12"/>
      <c r="K1214" s="12"/>
      <c r="L1214" s="12"/>
      <c r="M1214" s="11"/>
      <c r="N1214" s="11"/>
      <c r="O1214" s="11"/>
      <c r="P1214" s="11"/>
    </row>
    <row r="1215" spans="7:16" x14ac:dyDescent="0.25">
      <c r="G1215" s="17"/>
      <c r="H1215" s="12"/>
      <c r="I1215" s="12"/>
      <c r="J1215" s="12"/>
      <c r="K1215" s="12"/>
      <c r="L1215" s="12"/>
      <c r="M1215" s="11"/>
      <c r="N1215" s="11"/>
      <c r="O1215" s="11"/>
      <c r="P1215" s="11"/>
    </row>
    <row r="1216" spans="7:16" x14ac:dyDescent="0.25">
      <c r="G1216" s="17"/>
      <c r="H1216" s="12"/>
      <c r="I1216" s="12"/>
      <c r="J1216" s="12"/>
      <c r="K1216" s="12"/>
      <c r="L1216" s="12"/>
      <c r="M1216" s="11"/>
      <c r="N1216" s="11"/>
      <c r="O1216" s="11"/>
      <c r="P1216" s="11"/>
    </row>
    <row r="1217" spans="7:16" x14ac:dyDescent="0.25">
      <c r="G1217" s="17"/>
      <c r="H1217" s="12"/>
      <c r="I1217" s="12"/>
      <c r="J1217" s="12"/>
      <c r="K1217" s="12"/>
      <c r="L1217" s="12"/>
      <c r="M1217" s="11"/>
      <c r="N1217" s="11"/>
      <c r="O1217" s="11"/>
      <c r="P1217" s="11"/>
    </row>
    <row r="1218" spans="7:16" x14ac:dyDescent="0.25">
      <c r="G1218" s="17"/>
      <c r="H1218" s="12"/>
      <c r="I1218" s="12"/>
      <c r="J1218" s="12"/>
      <c r="K1218" s="12"/>
      <c r="L1218" s="12"/>
      <c r="M1218" s="11"/>
      <c r="N1218" s="11"/>
      <c r="O1218" s="11"/>
      <c r="P1218" s="11"/>
    </row>
    <row r="1219" spans="7:16" x14ac:dyDescent="0.25">
      <c r="G1219" s="17"/>
      <c r="H1219" s="12"/>
      <c r="I1219" s="12"/>
      <c r="J1219" s="12"/>
      <c r="K1219" s="12"/>
      <c r="L1219" s="12"/>
      <c r="M1219" s="11"/>
      <c r="N1219" s="11"/>
      <c r="O1219" s="11"/>
      <c r="P1219" s="11"/>
    </row>
    <row r="1220" spans="7:16" x14ac:dyDescent="0.25">
      <c r="G1220" s="17"/>
      <c r="H1220" s="12"/>
      <c r="I1220" s="12"/>
      <c r="J1220" s="12"/>
      <c r="K1220" s="12"/>
      <c r="L1220" s="12"/>
      <c r="M1220" s="11"/>
      <c r="N1220" s="11"/>
      <c r="O1220" s="11"/>
      <c r="P1220" s="11"/>
    </row>
    <row r="1221" spans="7:16" x14ac:dyDescent="0.25">
      <c r="G1221" s="17"/>
      <c r="H1221" s="12"/>
      <c r="I1221" s="12"/>
      <c r="J1221" s="12"/>
      <c r="K1221" s="12"/>
      <c r="L1221" s="12"/>
      <c r="M1221" s="11"/>
      <c r="N1221" s="11"/>
      <c r="O1221" s="11"/>
      <c r="P1221" s="11"/>
    </row>
    <row r="1222" spans="7:16" x14ac:dyDescent="0.25">
      <c r="G1222" s="17"/>
      <c r="H1222" s="12"/>
      <c r="I1222" s="12"/>
      <c r="J1222" s="12"/>
      <c r="K1222" s="12"/>
      <c r="L1222" s="12"/>
      <c r="M1222" s="11"/>
      <c r="N1222" s="11"/>
      <c r="O1222" s="11"/>
      <c r="P1222" s="11"/>
    </row>
    <row r="1223" spans="7:16" x14ac:dyDescent="0.25">
      <c r="G1223" s="17"/>
      <c r="H1223" s="12"/>
      <c r="I1223" s="12"/>
      <c r="J1223" s="12"/>
      <c r="K1223" s="12"/>
      <c r="L1223" s="12"/>
      <c r="M1223" s="11"/>
      <c r="N1223" s="11"/>
      <c r="O1223" s="11"/>
      <c r="P1223" s="11"/>
    </row>
    <row r="1224" spans="7:16" x14ac:dyDescent="0.25">
      <c r="G1224" s="17"/>
      <c r="H1224" s="12"/>
      <c r="I1224" s="12"/>
      <c r="J1224" s="12"/>
      <c r="K1224" s="12"/>
      <c r="L1224" s="12"/>
      <c r="M1224" s="11"/>
      <c r="N1224" s="11"/>
      <c r="O1224" s="11"/>
      <c r="P1224" s="11"/>
    </row>
    <row r="1225" spans="7:16" x14ac:dyDescent="0.25">
      <c r="G1225" s="17"/>
      <c r="H1225" s="12"/>
      <c r="I1225" s="12"/>
      <c r="J1225" s="12"/>
      <c r="K1225" s="12"/>
      <c r="L1225" s="12"/>
      <c r="M1225" s="11"/>
      <c r="N1225" s="11"/>
      <c r="O1225" s="11"/>
      <c r="P1225" s="11"/>
    </row>
    <row r="1226" spans="7:16" x14ac:dyDescent="0.25">
      <c r="G1226" s="17"/>
      <c r="H1226" s="12"/>
      <c r="I1226" s="12"/>
      <c r="J1226" s="12"/>
      <c r="K1226" s="12"/>
      <c r="L1226" s="12"/>
      <c r="M1226" s="11"/>
      <c r="N1226" s="11"/>
      <c r="O1226" s="11"/>
      <c r="P1226" s="11"/>
    </row>
    <row r="1227" spans="7:16" x14ac:dyDescent="0.25">
      <c r="G1227" s="17"/>
      <c r="H1227" s="12"/>
      <c r="I1227" s="12"/>
      <c r="J1227" s="12"/>
      <c r="K1227" s="12"/>
      <c r="L1227" s="12"/>
      <c r="M1227" s="11"/>
      <c r="N1227" s="11"/>
      <c r="O1227" s="11"/>
      <c r="P1227" s="11"/>
    </row>
    <row r="1228" spans="7:16" x14ac:dyDescent="0.25">
      <c r="G1228" s="17"/>
      <c r="H1228" s="12"/>
      <c r="I1228" s="12"/>
      <c r="J1228" s="12"/>
      <c r="K1228" s="12"/>
      <c r="L1228" s="12"/>
      <c r="M1228" s="11"/>
      <c r="N1228" s="11"/>
      <c r="O1228" s="11"/>
      <c r="P1228" s="11"/>
    </row>
    <row r="1229" spans="7:16" x14ac:dyDescent="0.25">
      <c r="G1229" s="17"/>
      <c r="H1229" s="12"/>
      <c r="I1229" s="12"/>
      <c r="J1229" s="12"/>
      <c r="K1229" s="12"/>
      <c r="L1229" s="12"/>
      <c r="M1229" s="11"/>
      <c r="N1229" s="11"/>
      <c r="O1229" s="11"/>
      <c r="P1229" s="11"/>
    </row>
    <row r="1230" spans="7:16" x14ac:dyDescent="0.25">
      <c r="G1230" s="17"/>
      <c r="H1230" s="12"/>
      <c r="I1230" s="12"/>
      <c r="J1230" s="12"/>
      <c r="K1230" s="12"/>
      <c r="L1230" s="12"/>
      <c r="M1230" s="11"/>
      <c r="N1230" s="11"/>
      <c r="O1230" s="11"/>
      <c r="P1230" s="11"/>
    </row>
    <row r="1231" spans="7:16" x14ac:dyDescent="0.25">
      <c r="G1231" s="17"/>
      <c r="H1231" s="12"/>
      <c r="I1231" s="12"/>
      <c r="J1231" s="12"/>
      <c r="K1231" s="12"/>
      <c r="L1231" s="12"/>
      <c r="M1231" s="11"/>
      <c r="N1231" s="11"/>
      <c r="O1231" s="11"/>
      <c r="P1231" s="11"/>
    </row>
    <row r="1232" spans="7:16" x14ac:dyDescent="0.25">
      <c r="G1232" s="17"/>
      <c r="H1232" s="12"/>
      <c r="I1232" s="12"/>
      <c r="J1232" s="12"/>
      <c r="K1232" s="12"/>
      <c r="L1232" s="12"/>
      <c r="M1232" s="11"/>
      <c r="N1232" s="11"/>
      <c r="O1232" s="11"/>
      <c r="P1232" s="11"/>
    </row>
    <row r="1233" spans="7:16" x14ac:dyDescent="0.25">
      <c r="G1233" s="17"/>
      <c r="H1233" s="12"/>
      <c r="I1233" s="12"/>
      <c r="J1233" s="12"/>
      <c r="K1233" s="12"/>
      <c r="L1233" s="12"/>
      <c r="M1233" s="11"/>
      <c r="N1233" s="11"/>
      <c r="O1233" s="11"/>
      <c r="P1233" s="11"/>
    </row>
    <row r="1234" spans="7:16" x14ac:dyDescent="0.25">
      <c r="G1234" s="17"/>
      <c r="H1234" s="12"/>
      <c r="I1234" s="12"/>
      <c r="J1234" s="12"/>
      <c r="K1234" s="12"/>
      <c r="L1234" s="12"/>
      <c r="M1234" s="11"/>
      <c r="N1234" s="11"/>
      <c r="O1234" s="11"/>
      <c r="P1234" s="11"/>
    </row>
    <row r="1235" spans="7:16" x14ac:dyDescent="0.25">
      <c r="G1235" s="17"/>
      <c r="H1235" s="12"/>
      <c r="I1235" s="12"/>
      <c r="J1235" s="12"/>
      <c r="K1235" s="12"/>
      <c r="L1235" s="12"/>
      <c r="M1235" s="11"/>
      <c r="N1235" s="11"/>
      <c r="O1235" s="11"/>
      <c r="P1235" s="11"/>
    </row>
    <row r="1236" spans="7:16" x14ac:dyDescent="0.25">
      <c r="G1236" s="17"/>
      <c r="H1236" s="12"/>
      <c r="I1236" s="12"/>
      <c r="J1236" s="12"/>
      <c r="K1236" s="12"/>
      <c r="L1236" s="12"/>
      <c r="M1236" s="11"/>
      <c r="N1236" s="11"/>
      <c r="O1236" s="11"/>
      <c r="P1236" s="11"/>
    </row>
    <row r="1237" spans="7:16" x14ac:dyDescent="0.25">
      <c r="G1237" s="17"/>
      <c r="H1237" s="12"/>
      <c r="I1237" s="12"/>
      <c r="J1237" s="12"/>
      <c r="K1237" s="12"/>
      <c r="L1237" s="12"/>
      <c r="M1237" s="11"/>
      <c r="N1237" s="11"/>
      <c r="O1237" s="11"/>
      <c r="P1237" s="11"/>
    </row>
    <row r="1238" spans="7:16" x14ac:dyDescent="0.25">
      <c r="G1238" s="17"/>
      <c r="H1238" s="12"/>
      <c r="I1238" s="12"/>
      <c r="J1238" s="12"/>
      <c r="K1238" s="12"/>
      <c r="L1238" s="12"/>
      <c r="M1238" s="11"/>
      <c r="N1238" s="11"/>
      <c r="O1238" s="11"/>
      <c r="P1238" s="11"/>
    </row>
    <row r="1239" spans="7:16" x14ac:dyDescent="0.25">
      <c r="G1239" s="17"/>
      <c r="H1239" s="12"/>
      <c r="I1239" s="12"/>
      <c r="J1239" s="12"/>
      <c r="K1239" s="12"/>
      <c r="L1239" s="12"/>
      <c r="M1239" s="11"/>
      <c r="N1239" s="11"/>
      <c r="O1239" s="11"/>
      <c r="P1239" s="11"/>
    </row>
    <row r="1240" spans="7:16" x14ac:dyDescent="0.25">
      <c r="G1240" s="17"/>
      <c r="H1240" s="12"/>
      <c r="I1240" s="12"/>
      <c r="J1240" s="12"/>
      <c r="K1240" s="12"/>
      <c r="L1240" s="12"/>
      <c r="M1240" s="11"/>
      <c r="N1240" s="11"/>
      <c r="O1240" s="11"/>
      <c r="P1240" s="11"/>
    </row>
    <row r="1241" spans="7:16" x14ac:dyDescent="0.25">
      <c r="G1241" s="17"/>
      <c r="H1241" s="12"/>
      <c r="I1241" s="12"/>
      <c r="J1241" s="12"/>
      <c r="K1241" s="12"/>
      <c r="L1241" s="12"/>
      <c r="M1241" s="11"/>
      <c r="N1241" s="11"/>
      <c r="O1241" s="11"/>
      <c r="P1241" s="11"/>
    </row>
    <row r="1242" spans="7:16" x14ac:dyDescent="0.25">
      <c r="G1242" s="17"/>
      <c r="H1242" s="12"/>
      <c r="I1242" s="12"/>
      <c r="J1242" s="12"/>
      <c r="K1242" s="12"/>
      <c r="L1242" s="12"/>
      <c r="M1242" s="11"/>
      <c r="N1242" s="11"/>
      <c r="O1242" s="11"/>
      <c r="P1242" s="11"/>
    </row>
    <row r="1243" spans="7:16" x14ac:dyDescent="0.25">
      <c r="G1243" s="17"/>
      <c r="H1243" s="12"/>
      <c r="I1243" s="12"/>
      <c r="J1243" s="12"/>
      <c r="K1243" s="12"/>
      <c r="L1243" s="12"/>
      <c r="M1243" s="11"/>
      <c r="N1243" s="11"/>
      <c r="O1243" s="11"/>
      <c r="P1243" s="11"/>
    </row>
    <row r="1244" spans="7:16" x14ac:dyDescent="0.25">
      <c r="G1244" s="17"/>
      <c r="H1244" s="12"/>
      <c r="I1244" s="12"/>
      <c r="J1244" s="12"/>
      <c r="K1244" s="12"/>
      <c r="L1244" s="12"/>
      <c r="M1244" s="11"/>
      <c r="N1244" s="11"/>
      <c r="O1244" s="11"/>
      <c r="P1244" s="11"/>
    </row>
    <row r="1245" spans="7:16" x14ac:dyDescent="0.25">
      <c r="G1245" s="17"/>
      <c r="H1245" s="12"/>
      <c r="I1245" s="12"/>
      <c r="J1245" s="12"/>
      <c r="K1245" s="12"/>
      <c r="L1245" s="12"/>
      <c r="M1245" s="11"/>
      <c r="N1245" s="11"/>
      <c r="O1245" s="11"/>
      <c r="P1245" s="11"/>
    </row>
    <row r="1246" spans="7:16" x14ac:dyDescent="0.25">
      <c r="G1246" s="17"/>
      <c r="H1246" s="12"/>
      <c r="I1246" s="12"/>
      <c r="J1246" s="12"/>
      <c r="K1246" s="12"/>
      <c r="L1246" s="12"/>
      <c r="M1246" s="11"/>
      <c r="N1246" s="11"/>
      <c r="O1246" s="11"/>
      <c r="P1246" s="11"/>
    </row>
    <row r="1247" spans="7:16" x14ac:dyDescent="0.25">
      <c r="G1247" s="17"/>
      <c r="H1247" s="12"/>
      <c r="I1247" s="12"/>
      <c r="J1247" s="12"/>
      <c r="K1247" s="12"/>
      <c r="L1247" s="12"/>
      <c r="M1247" s="11"/>
      <c r="N1247" s="11"/>
      <c r="O1247" s="11"/>
      <c r="P1247" s="11"/>
    </row>
    <row r="1248" spans="7:16" x14ac:dyDescent="0.25">
      <c r="G1248" s="17"/>
      <c r="H1248" s="12"/>
      <c r="I1248" s="12"/>
      <c r="J1248" s="12"/>
      <c r="K1248" s="12"/>
      <c r="L1248" s="12"/>
      <c r="M1248" s="11"/>
      <c r="N1248" s="11"/>
      <c r="O1248" s="11"/>
      <c r="P1248" s="11"/>
    </row>
    <row r="1249" spans="7:16" x14ac:dyDescent="0.25">
      <c r="G1249" s="17"/>
      <c r="H1249" s="12"/>
      <c r="I1249" s="12"/>
      <c r="J1249" s="12"/>
      <c r="K1249" s="12"/>
      <c r="L1249" s="12"/>
      <c r="M1249" s="11"/>
      <c r="N1249" s="11"/>
      <c r="O1249" s="11"/>
      <c r="P1249" s="11"/>
    </row>
    <row r="1250" spans="7:16" x14ac:dyDescent="0.25">
      <c r="G1250" s="17"/>
      <c r="H1250" s="12"/>
      <c r="I1250" s="12"/>
      <c r="J1250" s="12"/>
      <c r="K1250" s="12"/>
      <c r="L1250" s="12"/>
      <c r="M1250" s="11"/>
      <c r="N1250" s="11"/>
      <c r="O1250" s="11"/>
      <c r="P1250" s="11"/>
    </row>
    <row r="1251" spans="7:16" x14ac:dyDescent="0.25">
      <c r="G1251" s="17"/>
      <c r="H1251" s="12"/>
      <c r="I1251" s="12"/>
      <c r="J1251" s="12"/>
      <c r="K1251" s="12"/>
      <c r="L1251" s="12"/>
      <c r="M1251" s="11"/>
      <c r="N1251" s="11"/>
      <c r="O1251" s="11"/>
      <c r="P1251" s="11"/>
    </row>
    <row r="1252" spans="7:16" x14ac:dyDescent="0.25">
      <c r="G1252" s="17"/>
      <c r="H1252" s="12"/>
      <c r="I1252" s="12"/>
      <c r="J1252" s="12"/>
      <c r="K1252" s="12"/>
      <c r="L1252" s="12"/>
      <c r="M1252" s="11"/>
      <c r="N1252" s="11"/>
      <c r="O1252" s="11"/>
      <c r="P1252" s="11"/>
    </row>
    <row r="1253" spans="7:16" x14ac:dyDescent="0.25">
      <c r="G1253" s="17"/>
      <c r="H1253" s="12"/>
      <c r="I1253" s="12"/>
      <c r="J1253" s="12"/>
      <c r="K1253" s="12"/>
      <c r="L1253" s="12"/>
      <c r="M1253" s="11"/>
      <c r="N1253" s="11"/>
      <c r="O1253" s="11"/>
      <c r="P1253" s="11"/>
    </row>
    <row r="1254" spans="7:16" x14ac:dyDescent="0.25">
      <c r="G1254" s="17"/>
      <c r="H1254" s="12"/>
      <c r="I1254" s="12"/>
      <c r="J1254" s="12"/>
      <c r="K1254" s="12"/>
      <c r="L1254" s="12"/>
      <c r="M1254" s="11"/>
      <c r="N1254" s="11"/>
      <c r="O1254" s="11"/>
      <c r="P1254" s="11"/>
    </row>
    <row r="1255" spans="7:16" x14ac:dyDescent="0.25">
      <c r="G1255" s="17"/>
      <c r="H1255" s="12"/>
      <c r="I1255" s="12"/>
      <c r="J1255" s="12"/>
      <c r="K1255" s="12"/>
      <c r="L1255" s="12"/>
      <c r="M1255" s="11"/>
      <c r="N1255" s="11"/>
      <c r="O1255" s="11"/>
      <c r="P1255" s="11"/>
    </row>
    <row r="1256" spans="7:16" x14ac:dyDescent="0.25">
      <c r="G1256" s="17"/>
      <c r="H1256" s="12"/>
      <c r="I1256" s="12"/>
      <c r="J1256" s="12"/>
      <c r="K1256" s="12"/>
      <c r="L1256" s="12"/>
      <c r="M1256" s="11"/>
      <c r="N1256" s="11"/>
      <c r="O1256" s="11"/>
      <c r="P1256" s="11"/>
    </row>
    <row r="1257" spans="7:16" x14ac:dyDescent="0.25">
      <c r="G1257" s="17"/>
      <c r="H1257" s="12"/>
      <c r="I1257" s="12"/>
      <c r="J1257" s="12"/>
      <c r="K1257" s="12"/>
      <c r="L1257" s="12"/>
      <c r="M1257" s="11"/>
      <c r="N1257" s="11"/>
      <c r="O1257" s="11"/>
      <c r="P1257" s="11"/>
    </row>
    <row r="1258" spans="7:16" x14ac:dyDescent="0.25">
      <c r="G1258" s="17"/>
      <c r="H1258" s="12"/>
      <c r="I1258" s="12"/>
      <c r="J1258" s="12"/>
      <c r="K1258" s="12"/>
      <c r="L1258" s="12"/>
      <c r="M1258" s="11"/>
      <c r="N1258" s="11"/>
      <c r="O1258" s="11"/>
      <c r="P1258" s="11"/>
    </row>
    <row r="1259" spans="7:16" x14ac:dyDescent="0.25">
      <c r="G1259" s="17"/>
      <c r="H1259" s="12"/>
      <c r="I1259" s="12"/>
      <c r="J1259" s="12"/>
      <c r="K1259" s="12"/>
      <c r="L1259" s="12"/>
      <c r="M1259" s="11"/>
      <c r="N1259" s="11"/>
      <c r="O1259" s="11"/>
      <c r="P1259" s="11"/>
    </row>
    <row r="1260" spans="7:16" x14ac:dyDescent="0.25">
      <c r="G1260" s="17"/>
      <c r="H1260" s="12"/>
      <c r="I1260" s="12"/>
      <c r="J1260" s="12"/>
      <c r="K1260" s="12"/>
      <c r="L1260" s="12"/>
      <c r="M1260" s="11"/>
      <c r="N1260" s="11"/>
      <c r="O1260" s="11"/>
      <c r="P1260" s="11"/>
    </row>
    <row r="1261" spans="7:16" x14ac:dyDescent="0.25">
      <c r="G1261" s="17"/>
      <c r="H1261" s="12"/>
      <c r="I1261" s="12"/>
      <c r="J1261" s="12"/>
      <c r="K1261" s="12"/>
      <c r="L1261" s="12"/>
      <c r="M1261" s="11"/>
      <c r="N1261" s="11"/>
      <c r="O1261" s="11"/>
      <c r="P1261" s="11"/>
    </row>
    <row r="1262" spans="7:16" x14ac:dyDescent="0.25">
      <c r="G1262" s="17"/>
      <c r="H1262" s="12"/>
      <c r="I1262" s="12"/>
      <c r="J1262" s="12"/>
      <c r="K1262" s="12"/>
      <c r="L1262" s="12"/>
      <c r="M1262" s="11"/>
      <c r="N1262" s="11"/>
      <c r="O1262" s="11"/>
      <c r="P1262" s="11"/>
    </row>
    <row r="1263" spans="7:16" x14ac:dyDescent="0.25">
      <c r="G1263" s="17"/>
      <c r="H1263" s="12"/>
      <c r="I1263" s="12"/>
      <c r="J1263" s="12"/>
      <c r="K1263" s="12"/>
      <c r="L1263" s="12"/>
      <c r="M1263" s="11"/>
      <c r="N1263" s="11"/>
      <c r="O1263" s="11"/>
      <c r="P1263" s="11"/>
    </row>
    <row r="1264" spans="7:16" x14ac:dyDescent="0.25">
      <c r="G1264" s="17"/>
      <c r="H1264" s="12"/>
      <c r="I1264" s="12"/>
      <c r="J1264" s="12"/>
      <c r="K1264" s="12"/>
      <c r="L1264" s="12"/>
      <c r="M1264" s="11"/>
      <c r="N1264" s="11"/>
      <c r="O1264" s="11"/>
      <c r="P1264" s="11"/>
    </row>
    <row r="1265" spans="7:16" x14ac:dyDescent="0.25">
      <c r="G1265" s="17"/>
      <c r="H1265" s="12"/>
      <c r="I1265" s="12"/>
      <c r="J1265" s="12"/>
      <c r="K1265" s="12"/>
      <c r="L1265" s="12"/>
      <c r="M1265" s="11"/>
      <c r="N1265" s="11"/>
      <c r="O1265" s="11"/>
      <c r="P1265" s="11"/>
    </row>
    <row r="1266" spans="7:16" x14ac:dyDescent="0.25">
      <c r="G1266" s="17"/>
      <c r="H1266" s="12"/>
      <c r="I1266" s="12"/>
      <c r="J1266" s="12"/>
      <c r="K1266" s="12"/>
      <c r="L1266" s="12"/>
      <c r="M1266" s="11"/>
      <c r="N1266" s="11"/>
      <c r="O1266" s="11"/>
      <c r="P1266" s="11"/>
    </row>
    <row r="1267" spans="7:16" x14ac:dyDescent="0.25">
      <c r="G1267" s="17"/>
      <c r="H1267" s="12"/>
      <c r="I1267" s="12"/>
      <c r="J1267" s="12"/>
      <c r="K1267" s="12"/>
      <c r="L1267" s="12"/>
      <c r="M1267" s="11"/>
      <c r="N1267" s="11"/>
      <c r="O1267" s="11"/>
      <c r="P1267" s="11"/>
    </row>
    <row r="1268" spans="7:16" x14ac:dyDescent="0.25">
      <c r="G1268" s="17"/>
      <c r="H1268" s="12"/>
      <c r="I1268" s="12"/>
      <c r="J1268" s="12"/>
      <c r="K1268" s="12"/>
      <c r="L1268" s="12"/>
      <c r="M1268" s="11"/>
      <c r="N1268" s="11"/>
      <c r="O1268" s="11"/>
      <c r="P1268" s="11"/>
    </row>
    <row r="1269" spans="7:16" x14ac:dyDescent="0.25">
      <c r="G1269" s="17"/>
      <c r="H1269" s="12"/>
      <c r="I1269" s="12"/>
      <c r="J1269" s="12"/>
      <c r="K1269" s="12"/>
      <c r="L1269" s="12"/>
      <c r="M1269" s="11"/>
      <c r="N1269" s="11"/>
      <c r="O1269" s="11"/>
      <c r="P1269" s="11"/>
    </row>
    <row r="1270" spans="7:16" x14ac:dyDescent="0.25">
      <c r="G1270" s="17"/>
      <c r="H1270" s="12"/>
      <c r="I1270" s="12"/>
      <c r="J1270" s="12"/>
      <c r="K1270" s="12"/>
      <c r="L1270" s="12"/>
      <c r="M1270" s="11"/>
      <c r="N1270" s="11"/>
      <c r="O1270" s="11"/>
      <c r="P1270" s="11"/>
    </row>
    <row r="1271" spans="7:16" x14ac:dyDescent="0.25">
      <c r="G1271" s="17"/>
      <c r="H1271" s="12"/>
      <c r="I1271" s="12"/>
      <c r="J1271" s="12"/>
      <c r="K1271" s="12"/>
      <c r="L1271" s="12"/>
      <c r="M1271" s="11"/>
      <c r="N1271" s="11"/>
      <c r="O1271" s="11"/>
      <c r="P1271" s="11"/>
    </row>
    <row r="1272" spans="7:16" x14ac:dyDescent="0.25">
      <c r="G1272" s="17"/>
      <c r="H1272" s="12"/>
      <c r="I1272" s="12"/>
      <c r="J1272" s="12"/>
      <c r="K1272" s="12"/>
      <c r="L1272" s="12"/>
      <c r="M1272" s="11"/>
      <c r="N1272" s="11"/>
      <c r="O1272" s="11"/>
      <c r="P1272" s="11"/>
    </row>
    <row r="1273" spans="7:16" x14ac:dyDescent="0.25">
      <c r="G1273" s="17"/>
      <c r="H1273" s="12"/>
      <c r="I1273" s="12"/>
      <c r="J1273" s="12"/>
      <c r="K1273" s="12"/>
      <c r="L1273" s="12"/>
      <c r="M1273" s="11"/>
      <c r="N1273" s="11"/>
      <c r="O1273" s="11"/>
      <c r="P1273" s="11"/>
    </row>
    <row r="1274" spans="7:16" x14ac:dyDescent="0.25">
      <c r="G1274" s="17"/>
      <c r="H1274" s="12"/>
      <c r="I1274" s="12"/>
      <c r="J1274" s="12"/>
      <c r="K1274" s="12"/>
      <c r="L1274" s="12"/>
      <c r="M1274" s="11"/>
      <c r="N1274" s="11"/>
      <c r="O1274" s="11"/>
      <c r="P1274" s="11"/>
    </row>
    <row r="1275" spans="7:16" x14ac:dyDescent="0.25">
      <c r="G1275" s="17"/>
      <c r="H1275" s="12"/>
      <c r="I1275" s="12"/>
      <c r="J1275" s="12"/>
      <c r="K1275" s="12"/>
      <c r="L1275" s="12"/>
      <c r="M1275" s="11"/>
      <c r="N1275" s="11"/>
      <c r="O1275" s="11"/>
      <c r="P1275" s="11"/>
    </row>
    <row r="1276" spans="7:16" x14ac:dyDescent="0.25">
      <c r="G1276" s="17"/>
      <c r="H1276" s="12"/>
      <c r="I1276" s="12"/>
      <c r="J1276" s="12"/>
      <c r="K1276" s="12"/>
      <c r="L1276" s="12"/>
      <c r="M1276" s="11"/>
      <c r="N1276" s="11"/>
      <c r="O1276" s="11"/>
      <c r="P1276" s="11"/>
    </row>
    <row r="1277" spans="7:16" x14ac:dyDescent="0.25">
      <c r="G1277" s="17"/>
      <c r="H1277" s="12"/>
      <c r="I1277" s="12"/>
      <c r="J1277" s="12"/>
      <c r="K1277" s="12"/>
      <c r="L1277" s="12"/>
      <c r="M1277" s="11"/>
      <c r="N1277" s="11"/>
      <c r="O1277" s="11"/>
      <c r="P1277" s="11"/>
    </row>
    <row r="1278" spans="7:16" x14ac:dyDescent="0.25">
      <c r="G1278" s="17"/>
      <c r="H1278" s="12"/>
      <c r="I1278" s="12"/>
      <c r="J1278" s="12"/>
      <c r="K1278" s="12"/>
      <c r="L1278" s="12"/>
      <c r="M1278" s="11"/>
      <c r="N1278" s="11"/>
      <c r="O1278" s="11"/>
      <c r="P1278" s="11"/>
    </row>
    <row r="1279" spans="7:16" x14ac:dyDescent="0.25">
      <c r="G1279" s="17"/>
      <c r="H1279" s="12"/>
      <c r="I1279" s="12"/>
      <c r="J1279" s="12"/>
      <c r="K1279" s="12"/>
      <c r="L1279" s="12"/>
      <c r="M1279" s="11"/>
      <c r="N1279" s="11"/>
      <c r="O1279" s="11"/>
      <c r="P1279" s="11"/>
    </row>
    <row r="1280" spans="7:16" x14ac:dyDescent="0.25">
      <c r="G1280" s="17"/>
      <c r="H1280" s="12"/>
      <c r="I1280" s="12"/>
      <c r="J1280" s="12"/>
      <c r="K1280" s="12"/>
      <c r="L1280" s="12"/>
      <c r="M1280" s="11"/>
      <c r="N1280" s="11"/>
      <c r="O1280" s="11"/>
      <c r="P1280" s="11"/>
    </row>
    <row r="1281" spans="7:16" x14ac:dyDescent="0.25">
      <c r="G1281" s="17"/>
      <c r="H1281" s="12"/>
      <c r="I1281" s="12"/>
      <c r="J1281" s="12"/>
      <c r="K1281" s="12"/>
      <c r="L1281" s="12"/>
      <c r="M1281" s="11"/>
      <c r="N1281" s="11"/>
      <c r="O1281" s="11"/>
      <c r="P1281" s="11"/>
    </row>
    <row r="1282" spans="7:16" x14ac:dyDescent="0.25">
      <c r="G1282" s="17"/>
      <c r="H1282" s="12"/>
      <c r="I1282" s="12"/>
      <c r="J1282" s="12"/>
      <c r="K1282" s="12"/>
      <c r="L1282" s="12"/>
      <c r="M1282" s="11"/>
      <c r="N1282" s="11"/>
      <c r="O1282" s="11"/>
      <c r="P1282" s="11"/>
    </row>
    <row r="1283" spans="7:16" x14ac:dyDescent="0.25">
      <c r="G1283" s="17"/>
      <c r="H1283" s="12"/>
      <c r="I1283" s="12"/>
      <c r="J1283" s="12"/>
      <c r="K1283" s="12"/>
      <c r="L1283" s="12"/>
      <c r="M1283" s="11"/>
      <c r="N1283" s="11"/>
      <c r="O1283" s="11"/>
      <c r="P1283" s="11"/>
    </row>
    <row r="1284" spans="7:16" x14ac:dyDescent="0.25">
      <c r="G1284" s="17"/>
      <c r="H1284" s="12"/>
      <c r="I1284" s="12"/>
      <c r="J1284" s="12"/>
      <c r="K1284" s="12"/>
      <c r="L1284" s="12"/>
      <c r="M1284" s="11"/>
      <c r="N1284" s="11"/>
      <c r="O1284" s="11"/>
      <c r="P1284" s="11"/>
    </row>
    <row r="1285" spans="7:16" x14ac:dyDescent="0.25">
      <c r="G1285" s="17"/>
      <c r="H1285" s="12"/>
      <c r="I1285" s="12"/>
      <c r="J1285" s="12"/>
      <c r="K1285" s="12"/>
      <c r="L1285" s="12"/>
      <c r="M1285" s="11"/>
      <c r="N1285" s="11"/>
      <c r="O1285" s="11"/>
      <c r="P1285" s="11"/>
    </row>
    <row r="1286" spans="7:16" x14ac:dyDescent="0.25">
      <c r="G1286" s="17"/>
      <c r="H1286" s="12"/>
      <c r="I1286" s="12"/>
      <c r="J1286" s="12"/>
      <c r="K1286" s="12"/>
      <c r="L1286" s="12"/>
      <c r="M1286" s="11"/>
      <c r="N1286" s="11"/>
      <c r="O1286" s="11"/>
      <c r="P1286" s="11"/>
    </row>
    <row r="1287" spans="7:16" x14ac:dyDescent="0.25">
      <c r="G1287" s="17"/>
      <c r="H1287" s="12"/>
      <c r="I1287" s="12"/>
      <c r="J1287" s="12"/>
      <c r="K1287" s="12"/>
      <c r="L1287" s="12"/>
      <c r="M1287" s="11"/>
      <c r="N1287" s="11"/>
      <c r="O1287" s="11"/>
      <c r="P1287" s="11"/>
    </row>
    <row r="1288" spans="7:16" x14ac:dyDescent="0.25">
      <c r="G1288" s="17"/>
      <c r="H1288" s="12"/>
      <c r="I1288" s="12"/>
      <c r="J1288" s="12"/>
      <c r="K1288" s="12"/>
      <c r="L1288" s="12"/>
      <c r="M1288" s="11"/>
      <c r="N1288" s="11"/>
      <c r="O1288" s="11"/>
      <c r="P1288" s="11"/>
    </row>
    <row r="1289" spans="7:16" x14ac:dyDescent="0.25">
      <c r="G1289" s="17"/>
      <c r="H1289" s="12"/>
      <c r="I1289" s="12"/>
      <c r="J1289" s="12"/>
      <c r="K1289" s="12"/>
      <c r="L1289" s="12"/>
      <c r="M1289" s="11"/>
      <c r="N1289" s="11"/>
      <c r="O1289" s="11"/>
      <c r="P1289" s="11"/>
    </row>
    <row r="1290" spans="7:16" x14ac:dyDescent="0.25">
      <c r="G1290" s="17"/>
      <c r="H1290" s="12"/>
      <c r="I1290" s="12"/>
      <c r="J1290" s="12"/>
      <c r="K1290" s="12"/>
      <c r="L1290" s="12"/>
      <c r="M1290" s="11"/>
      <c r="N1290" s="11"/>
      <c r="O1290" s="11"/>
      <c r="P1290" s="11"/>
    </row>
    <row r="1291" spans="7:16" x14ac:dyDescent="0.25">
      <c r="G1291" s="17"/>
      <c r="H1291" s="12"/>
      <c r="I1291" s="12"/>
      <c r="J1291" s="12"/>
      <c r="K1291" s="12"/>
      <c r="L1291" s="12"/>
      <c r="M1291" s="11"/>
      <c r="N1291" s="11"/>
      <c r="O1291" s="11"/>
      <c r="P1291" s="11"/>
    </row>
    <row r="1292" spans="7:16" x14ac:dyDescent="0.25">
      <c r="G1292" s="17"/>
      <c r="H1292" s="12"/>
      <c r="I1292" s="12"/>
      <c r="J1292" s="12"/>
      <c r="K1292" s="12"/>
      <c r="L1292" s="12"/>
      <c r="M1292" s="11"/>
      <c r="N1292" s="11"/>
      <c r="O1292" s="11"/>
      <c r="P1292" s="11"/>
    </row>
    <row r="1293" spans="7:16" x14ac:dyDescent="0.25">
      <c r="G1293" s="17"/>
      <c r="H1293" s="12"/>
      <c r="I1293" s="12"/>
      <c r="J1293" s="12"/>
      <c r="K1293" s="12"/>
      <c r="L1293" s="12"/>
      <c r="M1293" s="11"/>
      <c r="N1293" s="11"/>
      <c r="O1293" s="11"/>
      <c r="P1293" s="11"/>
    </row>
    <row r="1294" spans="7:16" x14ac:dyDescent="0.25">
      <c r="G1294" s="17"/>
      <c r="H1294" s="12"/>
      <c r="I1294" s="12"/>
      <c r="J1294" s="12"/>
      <c r="K1294" s="12"/>
      <c r="L1294" s="12"/>
      <c r="M1294" s="11"/>
      <c r="N1294" s="11"/>
      <c r="O1294" s="11"/>
      <c r="P1294" s="11"/>
    </row>
    <row r="1295" spans="7:16" x14ac:dyDescent="0.25">
      <c r="G1295" s="17"/>
      <c r="H1295" s="12"/>
      <c r="I1295" s="12"/>
      <c r="J1295" s="12"/>
      <c r="K1295" s="12"/>
      <c r="L1295" s="12"/>
      <c r="M1295" s="11"/>
      <c r="N1295" s="11"/>
      <c r="O1295" s="11"/>
      <c r="P1295" s="11"/>
    </row>
    <row r="1296" spans="7:16" x14ac:dyDescent="0.25">
      <c r="G1296" s="17"/>
      <c r="H1296" s="12"/>
      <c r="I1296" s="12"/>
      <c r="J1296" s="12"/>
      <c r="K1296" s="12"/>
      <c r="L1296" s="12"/>
      <c r="M1296" s="11"/>
      <c r="N1296" s="11"/>
      <c r="O1296" s="11"/>
      <c r="P1296" s="11"/>
    </row>
    <row r="1297" spans="7:16" x14ac:dyDescent="0.25">
      <c r="G1297" s="17"/>
      <c r="H1297" s="12"/>
      <c r="I1297" s="12"/>
      <c r="J1297" s="12"/>
      <c r="K1297" s="12"/>
      <c r="L1297" s="12"/>
      <c r="M1297" s="11"/>
      <c r="N1297" s="11"/>
      <c r="O1297" s="11"/>
      <c r="P1297" s="11"/>
    </row>
    <row r="1298" spans="7:16" x14ac:dyDescent="0.25">
      <c r="G1298" s="17"/>
      <c r="H1298" s="12"/>
      <c r="I1298" s="12"/>
      <c r="J1298" s="12"/>
      <c r="K1298" s="12"/>
      <c r="L1298" s="12"/>
      <c r="M1298" s="11"/>
      <c r="N1298" s="11"/>
      <c r="O1298" s="11"/>
      <c r="P1298" s="11"/>
    </row>
    <row r="1299" spans="7:16" x14ac:dyDescent="0.25">
      <c r="G1299" s="17"/>
      <c r="H1299" s="12"/>
      <c r="I1299" s="12"/>
      <c r="J1299" s="12"/>
      <c r="K1299" s="12"/>
      <c r="L1299" s="12"/>
      <c r="M1299" s="11"/>
      <c r="N1299" s="11"/>
      <c r="O1299" s="11"/>
      <c r="P1299" s="11"/>
    </row>
    <row r="1300" spans="7:16" x14ac:dyDescent="0.25">
      <c r="G1300" s="17"/>
      <c r="H1300" s="12"/>
      <c r="I1300" s="12"/>
      <c r="J1300" s="12"/>
      <c r="K1300" s="12"/>
      <c r="L1300" s="12"/>
      <c r="M1300" s="11"/>
      <c r="N1300" s="11"/>
      <c r="O1300" s="11"/>
      <c r="P1300" s="11"/>
    </row>
    <row r="1301" spans="7:16" x14ac:dyDescent="0.25">
      <c r="G1301" s="17"/>
      <c r="H1301" s="12"/>
      <c r="I1301" s="12"/>
      <c r="J1301" s="12"/>
      <c r="K1301" s="12"/>
      <c r="L1301" s="12"/>
      <c r="M1301" s="11"/>
      <c r="N1301" s="11"/>
      <c r="O1301" s="11"/>
      <c r="P1301" s="11"/>
    </row>
    <row r="1302" spans="7:16" x14ac:dyDescent="0.25">
      <c r="G1302" s="17"/>
      <c r="H1302" s="12"/>
      <c r="I1302" s="12"/>
      <c r="J1302" s="12"/>
      <c r="K1302" s="12"/>
      <c r="L1302" s="12"/>
      <c r="M1302" s="11"/>
      <c r="N1302" s="11"/>
      <c r="O1302" s="11"/>
      <c r="P1302" s="11"/>
    </row>
    <row r="1303" spans="7:16" x14ac:dyDescent="0.25">
      <c r="G1303" s="17"/>
      <c r="H1303" s="12"/>
      <c r="I1303" s="12"/>
      <c r="J1303" s="12"/>
      <c r="K1303" s="12"/>
      <c r="L1303" s="12"/>
      <c r="M1303" s="11"/>
      <c r="N1303" s="11"/>
      <c r="O1303" s="11"/>
      <c r="P1303" s="11"/>
    </row>
    <row r="1304" spans="7:16" x14ac:dyDescent="0.25">
      <c r="G1304" s="17"/>
      <c r="H1304" s="12"/>
      <c r="I1304" s="12"/>
      <c r="J1304" s="12"/>
      <c r="K1304" s="12"/>
      <c r="L1304" s="12"/>
      <c r="M1304" s="11"/>
      <c r="N1304" s="11"/>
      <c r="O1304" s="11"/>
      <c r="P1304" s="11"/>
    </row>
    <row r="1305" spans="7:16" x14ac:dyDescent="0.25">
      <c r="G1305" s="17"/>
      <c r="H1305" s="12"/>
      <c r="I1305" s="12"/>
      <c r="J1305" s="12"/>
      <c r="K1305" s="12"/>
      <c r="L1305" s="12"/>
      <c r="M1305" s="11"/>
      <c r="N1305" s="11"/>
      <c r="O1305" s="11"/>
      <c r="P1305" s="11"/>
    </row>
    <row r="1306" spans="7:16" x14ac:dyDescent="0.25">
      <c r="G1306" s="17"/>
      <c r="H1306" s="12"/>
      <c r="I1306" s="12"/>
      <c r="J1306" s="12"/>
      <c r="K1306" s="12"/>
      <c r="L1306" s="12"/>
      <c r="M1306" s="11"/>
      <c r="N1306" s="11"/>
      <c r="O1306" s="11"/>
      <c r="P1306" s="11"/>
    </row>
    <row r="1307" spans="7:16" x14ac:dyDescent="0.25">
      <c r="G1307" s="17"/>
      <c r="H1307" s="12"/>
      <c r="I1307" s="12"/>
      <c r="J1307" s="12"/>
      <c r="K1307" s="12"/>
      <c r="L1307" s="12"/>
      <c r="M1307" s="11"/>
      <c r="N1307" s="11"/>
      <c r="O1307" s="11"/>
      <c r="P1307" s="11"/>
    </row>
    <row r="1308" spans="7:16" x14ac:dyDescent="0.25">
      <c r="G1308" s="17"/>
      <c r="H1308" s="12"/>
      <c r="I1308" s="12"/>
      <c r="J1308" s="12"/>
      <c r="K1308" s="12"/>
      <c r="L1308" s="12"/>
      <c r="M1308" s="11"/>
      <c r="N1308" s="11"/>
      <c r="O1308" s="11"/>
      <c r="P1308" s="11"/>
    </row>
    <row r="1309" spans="7:16" x14ac:dyDescent="0.25">
      <c r="G1309" s="17"/>
      <c r="H1309" s="12"/>
      <c r="I1309" s="12"/>
      <c r="J1309" s="12"/>
      <c r="K1309" s="12"/>
      <c r="L1309" s="12"/>
      <c r="M1309" s="11"/>
      <c r="N1309" s="11"/>
      <c r="O1309" s="11"/>
      <c r="P1309" s="11"/>
    </row>
    <row r="1310" spans="7:16" x14ac:dyDescent="0.25">
      <c r="G1310" s="17"/>
      <c r="H1310" s="12"/>
      <c r="I1310" s="12"/>
      <c r="J1310" s="12"/>
      <c r="K1310" s="12"/>
      <c r="L1310" s="12"/>
      <c r="M1310" s="11"/>
      <c r="N1310" s="11"/>
      <c r="O1310" s="11"/>
      <c r="P1310" s="11"/>
    </row>
    <row r="1311" spans="7:16" x14ac:dyDescent="0.25">
      <c r="G1311" s="17"/>
      <c r="H1311" s="12"/>
      <c r="I1311" s="12"/>
      <c r="J1311" s="12"/>
      <c r="K1311" s="12"/>
      <c r="L1311" s="12"/>
      <c r="M1311" s="11"/>
      <c r="N1311" s="11"/>
      <c r="O1311" s="11"/>
      <c r="P1311" s="11"/>
    </row>
    <row r="1312" spans="7:16" x14ac:dyDescent="0.25">
      <c r="G1312" s="17"/>
      <c r="H1312" s="12"/>
      <c r="I1312" s="12"/>
      <c r="J1312" s="12"/>
      <c r="K1312" s="12"/>
      <c r="L1312" s="12"/>
      <c r="M1312" s="11"/>
      <c r="N1312" s="11"/>
      <c r="O1312" s="11"/>
      <c r="P1312" s="11"/>
    </row>
    <row r="1313" spans="7:16" x14ac:dyDescent="0.25">
      <c r="G1313" s="17"/>
      <c r="H1313" s="12"/>
      <c r="I1313" s="12"/>
      <c r="J1313" s="12"/>
      <c r="K1313" s="12"/>
      <c r="L1313" s="12"/>
      <c r="M1313" s="11"/>
      <c r="N1313" s="11"/>
      <c r="O1313" s="11"/>
      <c r="P1313" s="11"/>
    </row>
    <row r="1314" spans="7:16" x14ac:dyDescent="0.25">
      <c r="G1314" s="17"/>
      <c r="H1314" s="12"/>
      <c r="I1314" s="12"/>
      <c r="J1314" s="12"/>
      <c r="K1314" s="12"/>
      <c r="L1314" s="12"/>
      <c r="M1314" s="11"/>
      <c r="N1314" s="11"/>
      <c r="O1314" s="11"/>
      <c r="P1314" s="11"/>
    </row>
    <row r="1315" spans="7:16" x14ac:dyDescent="0.25">
      <c r="G1315" s="17"/>
      <c r="H1315" s="12"/>
      <c r="I1315" s="12"/>
      <c r="J1315" s="12"/>
      <c r="K1315" s="12"/>
      <c r="L1315" s="12"/>
      <c r="M1315" s="11"/>
      <c r="N1315" s="11"/>
      <c r="O1315" s="11"/>
      <c r="P1315" s="11"/>
    </row>
    <row r="1316" spans="7:16" x14ac:dyDescent="0.25">
      <c r="G1316" s="17"/>
      <c r="H1316" s="12"/>
      <c r="I1316" s="12"/>
      <c r="J1316" s="12"/>
      <c r="K1316" s="12"/>
      <c r="L1316" s="12"/>
      <c r="M1316" s="11"/>
      <c r="N1316" s="11"/>
      <c r="O1316" s="11"/>
      <c r="P1316" s="11"/>
    </row>
    <row r="1317" spans="7:16" x14ac:dyDescent="0.25">
      <c r="G1317" s="17"/>
      <c r="H1317" s="12"/>
      <c r="I1317" s="12"/>
      <c r="J1317" s="12"/>
      <c r="K1317" s="12"/>
      <c r="L1317" s="12"/>
      <c r="M1317" s="11"/>
      <c r="N1317" s="11"/>
      <c r="O1317" s="11"/>
      <c r="P1317" s="11"/>
    </row>
    <row r="1318" spans="7:16" x14ac:dyDescent="0.25">
      <c r="G1318" s="17"/>
      <c r="H1318" s="12"/>
      <c r="I1318" s="12"/>
      <c r="J1318" s="12"/>
      <c r="K1318" s="12"/>
      <c r="L1318" s="12"/>
      <c r="M1318" s="11"/>
      <c r="N1318" s="11"/>
      <c r="O1318" s="11"/>
      <c r="P1318" s="11"/>
    </row>
    <row r="1319" spans="7:16" x14ac:dyDescent="0.25">
      <c r="G1319" s="17"/>
      <c r="H1319" s="12"/>
      <c r="I1319" s="12"/>
      <c r="J1319" s="12"/>
      <c r="K1319" s="12"/>
      <c r="L1319" s="12"/>
      <c r="M1319" s="11"/>
      <c r="N1319" s="11"/>
      <c r="O1319" s="11"/>
      <c r="P1319" s="11"/>
    </row>
    <row r="1320" spans="7:16" x14ac:dyDescent="0.25">
      <c r="G1320" s="17"/>
      <c r="H1320" s="12"/>
      <c r="I1320" s="12"/>
      <c r="J1320" s="12"/>
      <c r="K1320" s="12"/>
      <c r="L1320" s="12"/>
      <c r="M1320" s="11"/>
      <c r="N1320" s="11"/>
      <c r="O1320" s="11"/>
      <c r="P1320" s="11"/>
    </row>
    <row r="1321" spans="7:16" x14ac:dyDescent="0.25">
      <c r="G1321" s="17"/>
      <c r="H1321" s="12"/>
      <c r="I1321" s="12"/>
      <c r="J1321" s="12"/>
      <c r="K1321" s="12"/>
      <c r="L1321" s="12"/>
      <c r="M1321" s="11"/>
      <c r="N1321" s="11"/>
      <c r="O1321" s="11"/>
      <c r="P1321" s="11"/>
    </row>
    <row r="1322" spans="7:16" x14ac:dyDescent="0.25">
      <c r="G1322" s="17"/>
      <c r="H1322" s="12"/>
      <c r="I1322" s="12"/>
      <c r="J1322" s="12"/>
      <c r="K1322" s="12"/>
      <c r="L1322" s="12"/>
      <c r="M1322" s="11"/>
      <c r="N1322" s="11"/>
      <c r="O1322" s="11"/>
      <c r="P1322" s="11"/>
    </row>
    <row r="1323" spans="7:16" x14ac:dyDescent="0.25">
      <c r="G1323" s="17"/>
      <c r="H1323" s="12"/>
      <c r="I1323" s="12"/>
      <c r="J1323" s="12"/>
      <c r="K1323" s="12"/>
      <c r="L1323" s="12"/>
      <c r="M1323" s="11"/>
      <c r="N1323" s="11"/>
      <c r="O1323" s="11"/>
      <c r="P1323" s="11"/>
    </row>
    <row r="1324" spans="7:16" x14ac:dyDescent="0.25">
      <c r="G1324" s="17"/>
      <c r="H1324" s="12"/>
      <c r="I1324" s="12"/>
      <c r="J1324" s="12"/>
      <c r="K1324" s="12"/>
      <c r="L1324" s="12"/>
      <c r="M1324" s="11"/>
      <c r="N1324" s="11"/>
      <c r="O1324" s="11"/>
      <c r="P1324" s="11"/>
    </row>
    <row r="1325" spans="7:16" x14ac:dyDescent="0.25">
      <c r="G1325" s="17"/>
      <c r="H1325" s="12"/>
      <c r="I1325" s="12"/>
      <c r="J1325" s="12"/>
      <c r="K1325" s="12"/>
      <c r="L1325" s="12"/>
      <c r="M1325" s="11"/>
      <c r="N1325" s="11"/>
      <c r="O1325" s="11"/>
      <c r="P1325" s="11"/>
    </row>
    <row r="1326" spans="7:16" x14ac:dyDescent="0.25">
      <c r="G1326" s="17"/>
      <c r="H1326" s="12"/>
      <c r="I1326" s="12"/>
      <c r="J1326" s="12"/>
      <c r="K1326" s="12"/>
      <c r="L1326" s="12"/>
      <c r="M1326" s="11"/>
      <c r="N1326" s="11"/>
      <c r="O1326" s="11"/>
      <c r="P1326" s="11"/>
    </row>
    <row r="1327" spans="7:16" x14ac:dyDescent="0.25">
      <c r="G1327" s="17"/>
      <c r="H1327" s="12"/>
      <c r="I1327" s="12"/>
      <c r="J1327" s="12"/>
      <c r="K1327" s="12"/>
      <c r="L1327" s="12"/>
      <c r="M1327" s="11"/>
      <c r="N1327" s="11"/>
      <c r="O1327" s="11"/>
      <c r="P1327" s="11"/>
    </row>
    <row r="1328" spans="7:16" x14ac:dyDescent="0.25">
      <c r="G1328" s="17"/>
      <c r="H1328" s="12"/>
      <c r="I1328" s="12"/>
      <c r="J1328" s="12"/>
      <c r="K1328" s="12"/>
      <c r="L1328" s="12"/>
      <c r="M1328" s="11"/>
      <c r="N1328" s="11"/>
      <c r="O1328" s="11"/>
      <c r="P1328" s="11"/>
    </row>
    <row r="1329" spans="7:16" x14ac:dyDescent="0.25">
      <c r="G1329" s="17"/>
      <c r="H1329" s="12"/>
      <c r="I1329" s="12"/>
      <c r="J1329" s="12"/>
      <c r="K1329" s="12"/>
      <c r="L1329" s="12"/>
      <c r="M1329" s="11"/>
      <c r="N1329" s="11"/>
      <c r="O1329" s="11"/>
      <c r="P1329" s="11"/>
    </row>
    <row r="1330" spans="7:16" x14ac:dyDescent="0.25">
      <c r="G1330" s="17"/>
      <c r="H1330" s="12"/>
      <c r="I1330" s="12"/>
      <c r="J1330" s="12"/>
      <c r="K1330" s="12"/>
      <c r="L1330" s="12"/>
      <c r="M1330" s="11"/>
      <c r="N1330" s="11"/>
      <c r="O1330" s="11"/>
      <c r="P1330" s="11"/>
    </row>
    <row r="1331" spans="7:16" x14ac:dyDescent="0.25">
      <c r="G1331" s="17"/>
      <c r="H1331" s="12"/>
      <c r="I1331" s="12"/>
      <c r="J1331" s="12"/>
      <c r="K1331" s="12"/>
      <c r="L1331" s="12"/>
      <c r="M1331" s="11"/>
      <c r="N1331" s="11"/>
      <c r="O1331" s="11"/>
      <c r="P1331" s="11"/>
    </row>
    <row r="1332" spans="7:16" x14ac:dyDescent="0.25">
      <c r="G1332" s="17"/>
      <c r="H1332" s="12"/>
      <c r="I1332" s="12"/>
      <c r="J1332" s="12"/>
      <c r="K1332" s="12"/>
      <c r="L1332" s="12"/>
      <c r="M1332" s="11"/>
      <c r="N1332" s="11"/>
      <c r="O1332" s="11"/>
      <c r="P1332" s="11"/>
    </row>
    <row r="1333" spans="7:16" x14ac:dyDescent="0.25">
      <c r="G1333" s="17"/>
      <c r="H1333" s="12"/>
      <c r="I1333" s="12"/>
      <c r="J1333" s="12"/>
      <c r="K1333" s="12"/>
      <c r="L1333" s="12"/>
      <c r="M1333" s="11"/>
      <c r="N1333" s="11"/>
      <c r="O1333" s="11"/>
      <c r="P1333" s="11"/>
    </row>
    <row r="1334" spans="7:16" x14ac:dyDescent="0.25">
      <c r="G1334" s="17"/>
      <c r="H1334" s="12"/>
      <c r="I1334" s="12"/>
      <c r="J1334" s="12"/>
      <c r="K1334" s="12"/>
      <c r="L1334" s="12"/>
      <c r="M1334" s="11"/>
      <c r="N1334" s="11"/>
      <c r="O1334" s="11"/>
      <c r="P1334" s="11"/>
    </row>
    <row r="1335" spans="7:16" x14ac:dyDescent="0.25">
      <c r="G1335" s="17"/>
      <c r="H1335" s="12"/>
      <c r="I1335" s="12"/>
      <c r="J1335" s="12"/>
      <c r="K1335" s="12"/>
      <c r="L1335" s="12"/>
      <c r="M1335" s="11"/>
      <c r="N1335" s="11"/>
      <c r="O1335" s="11"/>
      <c r="P1335" s="11"/>
    </row>
    <row r="1336" spans="7:16" x14ac:dyDescent="0.25">
      <c r="G1336" s="17"/>
      <c r="H1336" s="12"/>
      <c r="I1336" s="12"/>
      <c r="J1336" s="12"/>
      <c r="K1336" s="12"/>
      <c r="L1336" s="12"/>
      <c r="M1336" s="11"/>
      <c r="N1336" s="11"/>
      <c r="O1336" s="11"/>
      <c r="P1336" s="11"/>
    </row>
    <row r="1337" spans="7:16" x14ac:dyDescent="0.25">
      <c r="G1337" s="17"/>
      <c r="H1337" s="12"/>
      <c r="I1337" s="12"/>
      <c r="J1337" s="12"/>
      <c r="K1337" s="12"/>
      <c r="L1337" s="12"/>
      <c r="M1337" s="11"/>
      <c r="N1337" s="11"/>
      <c r="O1337" s="11"/>
      <c r="P1337" s="11"/>
    </row>
    <row r="1338" spans="7:16" x14ac:dyDescent="0.25">
      <c r="G1338" s="17"/>
      <c r="H1338" s="12"/>
      <c r="I1338" s="12"/>
      <c r="J1338" s="12"/>
      <c r="K1338" s="12"/>
      <c r="L1338" s="12"/>
      <c r="M1338" s="11"/>
      <c r="N1338" s="11"/>
      <c r="O1338" s="11"/>
      <c r="P1338" s="11"/>
    </row>
    <row r="1339" spans="7:16" x14ac:dyDescent="0.25">
      <c r="G1339" s="17"/>
      <c r="H1339" s="12"/>
      <c r="I1339" s="12"/>
      <c r="J1339" s="12"/>
      <c r="K1339" s="12"/>
      <c r="L1339" s="12"/>
      <c r="M1339" s="11"/>
      <c r="N1339" s="11"/>
      <c r="O1339" s="11"/>
      <c r="P1339" s="11"/>
    </row>
    <row r="1340" spans="7:16" x14ac:dyDescent="0.25">
      <c r="G1340" s="17"/>
      <c r="H1340" s="12"/>
      <c r="I1340" s="12"/>
      <c r="J1340" s="12"/>
      <c r="K1340" s="12"/>
      <c r="L1340" s="12"/>
      <c r="M1340" s="11"/>
      <c r="N1340" s="11"/>
      <c r="O1340" s="11"/>
      <c r="P1340" s="11"/>
    </row>
    <row r="1341" spans="7:16" x14ac:dyDescent="0.25">
      <c r="G1341" s="17"/>
      <c r="H1341" s="12"/>
      <c r="I1341" s="12"/>
      <c r="J1341" s="12"/>
      <c r="K1341" s="12"/>
      <c r="L1341" s="12"/>
      <c r="M1341" s="11"/>
      <c r="N1341" s="11"/>
      <c r="O1341" s="11"/>
      <c r="P1341" s="11"/>
    </row>
    <row r="1342" spans="7:16" x14ac:dyDescent="0.25">
      <c r="G1342" s="17"/>
      <c r="H1342" s="12"/>
      <c r="I1342" s="12"/>
      <c r="J1342" s="12"/>
      <c r="K1342" s="12"/>
      <c r="L1342" s="12"/>
      <c r="M1342" s="11"/>
      <c r="N1342" s="11"/>
      <c r="O1342" s="11"/>
      <c r="P1342" s="11"/>
    </row>
    <row r="1343" spans="7:16" x14ac:dyDescent="0.25">
      <c r="G1343" s="17"/>
      <c r="H1343" s="12"/>
      <c r="I1343" s="12"/>
      <c r="J1343" s="12"/>
      <c r="K1343" s="12"/>
      <c r="L1343" s="12"/>
      <c r="M1343" s="11"/>
      <c r="N1343" s="11"/>
      <c r="O1343" s="11"/>
      <c r="P1343" s="11"/>
    </row>
    <row r="1344" spans="7:16" x14ac:dyDescent="0.25">
      <c r="G1344" s="17"/>
      <c r="H1344" s="12"/>
      <c r="I1344" s="12"/>
      <c r="J1344" s="12"/>
      <c r="K1344" s="12"/>
      <c r="L1344" s="12"/>
      <c r="M1344" s="11"/>
      <c r="N1344" s="11"/>
      <c r="O1344" s="11"/>
      <c r="P1344" s="11"/>
    </row>
    <row r="1345" spans="7:16" x14ac:dyDescent="0.25">
      <c r="G1345" s="17"/>
      <c r="H1345" s="12"/>
      <c r="I1345" s="12"/>
      <c r="J1345" s="12"/>
      <c r="K1345" s="12"/>
      <c r="L1345" s="12"/>
      <c r="M1345" s="11"/>
      <c r="N1345" s="11"/>
      <c r="O1345" s="11"/>
      <c r="P1345" s="11"/>
    </row>
    <row r="1346" spans="7:16" x14ac:dyDescent="0.25">
      <c r="G1346" s="17"/>
      <c r="H1346" s="12"/>
      <c r="I1346" s="12"/>
      <c r="J1346" s="12"/>
      <c r="K1346" s="12"/>
      <c r="L1346" s="12"/>
      <c r="M1346" s="11"/>
      <c r="N1346" s="11"/>
      <c r="O1346" s="11"/>
      <c r="P1346" s="11"/>
    </row>
    <row r="1347" spans="7:16" x14ac:dyDescent="0.25">
      <c r="G1347" s="17"/>
      <c r="H1347" s="12"/>
      <c r="I1347" s="12"/>
      <c r="J1347" s="12"/>
      <c r="K1347" s="12"/>
      <c r="L1347" s="12"/>
      <c r="M1347" s="11"/>
      <c r="N1347" s="11"/>
      <c r="O1347" s="11"/>
      <c r="P1347" s="11"/>
    </row>
    <row r="1348" spans="7:16" x14ac:dyDescent="0.25">
      <c r="G1348" s="17"/>
      <c r="H1348" s="12"/>
      <c r="I1348" s="12"/>
      <c r="J1348" s="12"/>
      <c r="K1348" s="12"/>
      <c r="L1348" s="12"/>
      <c r="M1348" s="11"/>
      <c r="N1348" s="11"/>
      <c r="O1348" s="11"/>
      <c r="P1348" s="11"/>
    </row>
    <row r="1349" spans="7:16" x14ac:dyDescent="0.25">
      <c r="G1349" s="17"/>
      <c r="H1349" s="12"/>
      <c r="I1349" s="12"/>
      <c r="J1349" s="12"/>
      <c r="K1349" s="12"/>
      <c r="L1349" s="12"/>
      <c r="M1349" s="11"/>
      <c r="N1349" s="11"/>
      <c r="O1349" s="11"/>
      <c r="P1349" s="11"/>
    </row>
    <row r="1350" spans="7:16" x14ac:dyDescent="0.25">
      <c r="G1350" s="17"/>
      <c r="H1350" s="12"/>
      <c r="I1350" s="12"/>
      <c r="J1350" s="12"/>
      <c r="K1350" s="12"/>
      <c r="L1350" s="12"/>
      <c r="M1350" s="11"/>
      <c r="N1350" s="11"/>
      <c r="O1350" s="11"/>
      <c r="P1350" s="11"/>
    </row>
    <row r="1351" spans="7:16" x14ac:dyDescent="0.25">
      <c r="G1351" s="17"/>
      <c r="H1351" s="12"/>
      <c r="I1351" s="12"/>
      <c r="J1351" s="12"/>
      <c r="K1351" s="12"/>
      <c r="L1351" s="12"/>
      <c r="M1351" s="11"/>
      <c r="N1351" s="11"/>
      <c r="O1351" s="11"/>
      <c r="P1351" s="11"/>
    </row>
    <row r="1352" spans="7:16" x14ac:dyDescent="0.25">
      <c r="G1352" s="17"/>
      <c r="H1352" s="12"/>
      <c r="I1352" s="12"/>
      <c r="J1352" s="12"/>
      <c r="K1352" s="12"/>
      <c r="L1352" s="12"/>
      <c r="M1352" s="11"/>
      <c r="N1352" s="11"/>
      <c r="O1352" s="11"/>
      <c r="P1352" s="11"/>
    </row>
    <row r="1353" spans="7:16" x14ac:dyDescent="0.25">
      <c r="G1353" s="17"/>
      <c r="H1353" s="12"/>
      <c r="I1353" s="12"/>
      <c r="J1353" s="12"/>
      <c r="K1353" s="12"/>
      <c r="L1353" s="12"/>
      <c r="M1353" s="11"/>
      <c r="N1353" s="11"/>
      <c r="O1353" s="11"/>
      <c r="P1353" s="11"/>
    </row>
    <row r="1354" spans="7:16" x14ac:dyDescent="0.25">
      <c r="G1354" s="17"/>
      <c r="H1354" s="12"/>
      <c r="I1354" s="12"/>
      <c r="J1354" s="12"/>
      <c r="K1354" s="12"/>
      <c r="L1354" s="12"/>
      <c r="M1354" s="11"/>
      <c r="N1354" s="11"/>
      <c r="O1354" s="11"/>
      <c r="P1354" s="11"/>
    </row>
    <row r="1355" spans="7:16" x14ac:dyDescent="0.25">
      <c r="G1355" s="17"/>
      <c r="H1355" s="12"/>
      <c r="I1355" s="12"/>
      <c r="J1355" s="12"/>
      <c r="K1355" s="12"/>
      <c r="L1355" s="12"/>
      <c r="M1355" s="11"/>
      <c r="N1355" s="11"/>
      <c r="O1355" s="11"/>
      <c r="P1355" s="11"/>
    </row>
    <row r="1356" spans="7:16" x14ac:dyDescent="0.25">
      <c r="G1356" s="17"/>
      <c r="H1356" s="12"/>
      <c r="I1356" s="12"/>
      <c r="J1356" s="12"/>
      <c r="K1356" s="12"/>
      <c r="L1356" s="12"/>
      <c r="M1356" s="11"/>
      <c r="N1356" s="11"/>
      <c r="O1356" s="11"/>
      <c r="P1356" s="11"/>
    </row>
    <row r="1357" spans="7:16" x14ac:dyDescent="0.25">
      <c r="G1357" s="17"/>
      <c r="H1357" s="12"/>
      <c r="I1357" s="12"/>
      <c r="J1357" s="12"/>
      <c r="K1357" s="12"/>
      <c r="L1357" s="12"/>
      <c r="M1357" s="11"/>
      <c r="N1357" s="11"/>
      <c r="O1357" s="11"/>
      <c r="P1357" s="11"/>
    </row>
    <row r="1358" spans="7:16" x14ac:dyDescent="0.25">
      <c r="G1358" s="17"/>
      <c r="H1358" s="12"/>
      <c r="I1358" s="12"/>
      <c r="J1358" s="12"/>
      <c r="K1358" s="12"/>
      <c r="L1358" s="12"/>
      <c r="M1358" s="11"/>
      <c r="N1358" s="11"/>
      <c r="O1358" s="11"/>
      <c r="P1358" s="11"/>
    </row>
    <row r="1359" spans="7:16" x14ac:dyDescent="0.25">
      <c r="G1359" s="17"/>
      <c r="H1359" s="12"/>
      <c r="I1359" s="12"/>
      <c r="J1359" s="12"/>
      <c r="K1359" s="12"/>
      <c r="L1359" s="12"/>
      <c r="M1359" s="11"/>
      <c r="N1359" s="11"/>
      <c r="O1359" s="11"/>
      <c r="P1359" s="11"/>
    </row>
    <row r="1360" spans="7:16" x14ac:dyDescent="0.25">
      <c r="G1360" s="17"/>
      <c r="H1360" s="12"/>
      <c r="I1360" s="12"/>
      <c r="J1360" s="12"/>
      <c r="K1360" s="12"/>
      <c r="L1360" s="12"/>
      <c r="M1360" s="11"/>
      <c r="N1360" s="11"/>
      <c r="O1360" s="11"/>
      <c r="P1360" s="11"/>
    </row>
    <row r="1361" spans="7:16" x14ac:dyDescent="0.25">
      <c r="G1361" s="17"/>
      <c r="H1361" s="12"/>
      <c r="I1361" s="12"/>
      <c r="J1361" s="12"/>
      <c r="K1361" s="12"/>
      <c r="L1361" s="12"/>
      <c r="M1361" s="11"/>
      <c r="N1361" s="11"/>
      <c r="O1361" s="11"/>
      <c r="P1361" s="11"/>
    </row>
    <row r="1362" spans="7:16" x14ac:dyDescent="0.25">
      <c r="G1362" s="17"/>
      <c r="H1362" s="12"/>
      <c r="I1362" s="12"/>
      <c r="J1362" s="12"/>
      <c r="K1362" s="12"/>
      <c r="L1362" s="12"/>
      <c r="M1362" s="11"/>
      <c r="N1362" s="11"/>
      <c r="O1362" s="11"/>
      <c r="P1362" s="11"/>
    </row>
    <row r="1363" spans="7:16" x14ac:dyDescent="0.25">
      <c r="G1363" s="17"/>
      <c r="H1363" s="12"/>
      <c r="I1363" s="12"/>
      <c r="J1363" s="12"/>
      <c r="K1363" s="12"/>
      <c r="L1363" s="12"/>
      <c r="M1363" s="11"/>
      <c r="N1363" s="11"/>
      <c r="O1363" s="11"/>
      <c r="P1363" s="11"/>
    </row>
    <row r="1364" spans="7:16" x14ac:dyDescent="0.25">
      <c r="G1364" s="17"/>
      <c r="H1364" s="12"/>
      <c r="I1364" s="12"/>
      <c r="J1364" s="12"/>
      <c r="K1364" s="12"/>
      <c r="L1364" s="12"/>
      <c r="M1364" s="11"/>
      <c r="N1364" s="11"/>
      <c r="O1364" s="11"/>
      <c r="P1364" s="11"/>
    </row>
    <row r="1365" spans="7:16" x14ac:dyDescent="0.25">
      <c r="G1365" s="17"/>
      <c r="H1365" s="12"/>
      <c r="I1365" s="12"/>
      <c r="J1365" s="12"/>
      <c r="K1365" s="12"/>
      <c r="L1365" s="12"/>
      <c r="M1365" s="11"/>
      <c r="N1365" s="11"/>
      <c r="O1365" s="11"/>
      <c r="P1365" s="11"/>
    </row>
    <row r="1366" spans="7:16" x14ac:dyDescent="0.25">
      <c r="G1366" s="17"/>
      <c r="H1366" s="12"/>
      <c r="I1366" s="12"/>
      <c r="J1366" s="12"/>
      <c r="K1366" s="12"/>
      <c r="L1366" s="12"/>
      <c r="M1366" s="11"/>
      <c r="N1366" s="11"/>
      <c r="O1366" s="11"/>
      <c r="P1366" s="11"/>
    </row>
    <row r="1367" spans="7:16" x14ac:dyDescent="0.25">
      <c r="G1367" s="17"/>
      <c r="H1367" s="12"/>
      <c r="I1367" s="12"/>
      <c r="J1367" s="12"/>
      <c r="K1367" s="12"/>
      <c r="L1367" s="12"/>
      <c r="M1367" s="11"/>
      <c r="N1367" s="11"/>
      <c r="O1367" s="11"/>
      <c r="P1367" s="11"/>
    </row>
    <row r="1368" spans="7:16" x14ac:dyDescent="0.25">
      <c r="G1368" s="17"/>
      <c r="H1368" s="12"/>
      <c r="I1368" s="12"/>
      <c r="J1368" s="12"/>
      <c r="K1368" s="12"/>
      <c r="L1368" s="12"/>
      <c r="M1368" s="11"/>
      <c r="N1368" s="11"/>
      <c r="O1368" s="11"/>
      <c r="P1368" s="11"/>
    </row>
    <row r="1369" spans="7:16" x14ac:dyDescent="0.25">
      <c r="G1369" s="17"/>
      <c r="H1369" s="12"/>
      <c r="I1369" s="12"/>
      <c r="J1369" s="12"/>
      <c r="K1369" s="12"/>
      <c r="L1369" s="12"/>
      <c r="M1369" s="11"/>
      <c r="N1369" s="11"/>
      <c r="O1369" s="11"/>
      <c r="P1369" s="11"/>
    </row>
    <row r="1370" spans="7:16" x14ac:dyDescent="0.25">
      <c r="G1370" s="17"/>
      <c r="H1370" s="12"/>
      <c r="I1370" s="12"/>
      <c r="J1370" s="12"/>
      <c r="K1370" s="12"/>
      <c r="L1370" s="12"/>
      <c r="M1370" s="11"/>
      <c r="N1370" s="11"/>
      <c r="O1370" s="11"/>
      <c r="P1370" s="11"/>
    </row>
    <row r="1371" spans="7:16" x14ac:dyDescent="0.25">
      <c r="G1371" s="17"/>
      <c r="H1371" s="12"/>
      <c r="I1371" s="12"/>
      <c r="J1371" s="12"/>
      <c r="K1371" s="12"/>
      <c r="L1371" s="12"/>
      <c r="M1371" s="11"/>
      <c r="N1371" s="11"/>
      <c r="O1371" s="11"/>
      <c r="P1371" s="11"/>
    </row>
    <row r="1372" spans="7:16" x14ac:dyDescent="0.25">
      <c r="G1372" s="17"/>
      <c r="H1372" s="12"/>
      <c r="I1372" s="12"/>
      <c r="J1372" s="12"/>
      <c r="K1372" s="12"/>
      <c r="L1372" s="12"/>
      <c r="M1372" s="11"/>
      <c r="N1372" s="11"/>
      <c r="O1372" s="11"/>
      <c r="P1372" s="11"/>
    </row>
    <row r="1373" spans="7:16" x14ac:dyDescent="0.25">
      <c r="G1373" s="17"/>
      <c r="H1373" s="12"/>
      <c r="I1373" s="12"/>
      <c r="J1373" s="12"/>
      <c r="K1373" s="12"/>
      <c r="L1373" s="12"/>
      <c r="M1373" s="11"/>
      <c r="N1373" s="11"/>
      <c r="O1373" s="11"/>
      <c r="P1373" s="11"/>
    </row>
    <row r="1374" spans="7:16" x14ac:dyDescent="0.25">
      <c r="G1374" s="17"/>
      <c r="H1374" s="12"/>
      <c r="I1374" s="12"/>
      <c r="J1374" s="12"/>
      <c r="K1374" s="12"/>
      <c r="L1374" s="12"/>
      <c r="M1374" s="11"/>
      <c r="N1374" s="11"/>
      <c r="O1374" s="11"/>
      <c r="P1374" s="11"/>
    </row>
    <row r="1375" spans="7:16" x14ac:dyDescent="0.25">
      <c r="G1375" s="17"/>
      <c r="H1375" s="12"/>
      <c r="I1375" s="12"/>
      <c r="J1375" s="12"/>
      <c r="K1375" s="12"/>
      <c r="L1375" s="12"/>
      <c r="M1375" s="11"/>
      <c r="N1375" s="11"/>
      <c r="O1375" s="11"/>
      <c r="P1375" s="11"/>
    </row>
    <row r="1376" spans="7:16" x14ac:dyDescent="0.25">
      <c r="G1376" s="17"/>
      <c r="H1376" s="12"/>
      <c r="I1376" s="12"/>
      <c r="J1376" s="12"/>
      <c r="K1376" s="12"/>
      <c r="L1376" s="12"/>
      <c r="M1376" s="11"/>
      <c r="N1376" s="11"/>
      <c r="O1376" s="11"/>
      <c r="P1376" s="11"/>
    </row>
    <row r="1377" spans="7:16" x14ac:dyDescent="0.25">
      <c r="G1377" s="17"/>
      <c r="H1377" s="12"/>
      <c r="I1377" s="12"/>
      <c r="J1377" s="12"/>
      <c r="K1377" s="12"/>
      <c r="L1377" s="12"/>
      <c r="M1377" s="11"/>
      <c r="N1377" s="11"/>
      <c r="O1377" s="11"/>
      <c r="P1377" s="11"/>
    </row>
    <row r="1378" spans="7:16" x14ac:dyDescent="0.25">
      <c r="G1378" s="17"/>
      <c r="H1378" s="12"/>
      <c r="I1378" s="12"/>
      <c r="J1378" s="12"/>
      <c r="K1378" s="12"/>
      <c r="L1378" s="12"/>
      <c r="M1378" s="11"/>
      <c r="N1378" s="11"/>
      <c r="O1378" s="11"/>
      <c r="P1378" s="11"/>
    </row>
    <row r="1379" spans="7:16" x14ac:dyDescent="0.25">
      <c r="G1379" s="17"/>
      <c r="H1379" s="12"/>
      <c r="I1379" s="12"/>
      <c r="J1379" s="12"/>
      <c r="K1379" s="12"/>
      <c r="L1379" s="12"/>
      <c r="M1379" s="11"/>
      <c r="N1379" s="11"/>
      <c r="O1379" s="11"/>
      <c r="P1379" s="11"/>
    </row>
    <row r="1380" spans="7:16" x14ac:dyDescent="0.25">
      <c r="G1380" s="17"/>
      <c r="H1380" s="12"/>
      <c r="I1380" s="12"/>
      <c r="J1380" s="12"/>
      <c r="K1380" s="12"/>
      <c r="L1380" s="12"/>
      <c r="M1380" s="11"/>
      <c r="N1380" s="11"/>
      <c r="O1380" s="11"/>
      <c r="P1380" s="11"/>
    </row>
    <row r="1381" spans="7:16" x14ac:dyDescent="0.25">
      <c r="G1381" s="17"/>
      <c r="H1381" s="12"/>
      <c r="I1381" s="12"/>
      <c r="J1381" s="12"/>
      <c r="K1381" s="12"/>
      <c r="L1381" s="12"/>
      <c r="M1381" s="11"/>
      <c r="N1381" s="11"/>
      <c r="O1381" s="11"/>
      <c r="P1381" s="11"/>
    </row>
    <row r="1382" spans="7:16" x14ac:dyDescent="0.25">
      <c r="G1382" s="17"/>
      <c r="H1382" s="12"/>
      <c r="I1382" s="12"/>
      <c r="J1382" s="12"/>
      <c r="K1382" s="12"/>
      <c r="L1382" s="12"/>
      <c r="M1382" s="11"/>
      <c r="N1382" s="11"/>
      <c r="O1382" s="11"/>
      <c r="P1382" s="11"/>
    </row>
    <row r="1383" spans="7:16" x14ac:dyDescent="0.25">
      <c r="G1383" s="17"/>
      <c r="H1383" s="12"/>
      <c r="I1383" s="12"/>
      <c r="J1383" s="12"/>
      <c r="K1383" s="12"/>
      <c r="L1383" s="12"/>
      <c r="M1383" s="11"/>
      <c r="N1383" s="11"/>
      <c r="O1383" s="11"/>
      <c r="P1383" s="11"/>
    </row>
    <row r="1384" spans="7:16" x14ac:dyDescent="0.25">
      <c r="G1384" s="17"/>
      <c r="H1384" s="12"/>
      <c r="I1384" s="12"/>
      <c r="J1384" s="12"/>
      <c r="K1384" s="12"/>
      <c r="L1384" s="12"/>
      <c r="M1384" s="11"/>
      <c r="N1384" s="11"/>
      <c r="O1384" s="11"/>
      <c r="P1384" s="11"/>
    </row>
    <row r="1385" spans="7:16" x14ac:dyDescent="0.25">
      <c r="G1385" s="17"/>
      <c r="H1385" s="12"/>
      <c r="I1385" s="12"/>
      <c r="J1385" s="12"/>
      <c r="K1385" s="12"/>
      <c r="L1385" s="12"/>
      <c r="M1385" s="11"/>
      <c r="N1385" s="11"/>
      <c r="O1385" s="11"/>
      <c r="P1385" s="11"/>
    </row>
    <row r="1386" spans="7:16" x14ac:dyDescent="0.25">
      <c r="G1386" s="17"/>
      <c r="H1386" s="12"/>
      <c r="I1386" s="12"/>
      <c r="J1386" s="12"/>
      <c r="K1386" s="12"/>
      <c r="L1386" s="12"/>
      <c r="M1386" s="11"/>
      <c r="N1386" s="11"/>
      <c r="O1386" s="11"/>
      <c r="P1386" s="11"/>
    </row>
    <row r="1387" spans="7:16" x14ac:dyDescent="0.25">
      <c r="G1387" s="17"/>
      <c r="H1387" s="12"/>
      <c r="I1387" s="12"/>
      <c r="J1387" s="12"/>
      <c r="K1387" s="12"/>
      <c r="L1387" s="12"/>
      <c r="M1387" s="11"/>
      <c r="N1387" s="11"/>
      <c r="O1387" s="11"/>
      <c r="P1387" s="11"/>
    </row>
    <row r="1388" spans="7:16" x14ac:dyDescent="0.25">
      <c r="G1388" s="17"/>
      <c r="H1388" s="12"/>
      <c r="I1388" s="12"/>
      <c r="J1388" s="12"/>
      <c r="K1388" s="12"/>
      <c r="L1388" s="12"/>
      <c r="M1388" s="11"/>
      <c r="N1388" s="11"/>
      <c r="O1388" s="11"/>
      <c r="P1388" s="11"/>
    </row>
    <row r="1389" spans="7:16" x14ac:dyDescent="0.25">
      <c r="G1389" s="17"/>
      <c r="H1389" s="12"/>
      <c r="I1389" s="12"/>
      <c r="J1389" s="12"/>
      <c r="K1389" s="12"/>
      <c r="L1389" s="12"/>
      <c r="M1389" s="11"/>
      <c r="N1389" s="11"/>
      <c r="O1389" s="11"/>
      <c r="P1389" s="11"/>
    </row>
    <row r="1390" spans="7:16" x14ac:dyDescent="0.25">
      <c r="G1390" s="17"/>
      <c r="H1390" s="12"/>
      <c r="I1390" s="12"/>
      <c r="J1390" s="12"/>
      <c r="K1390" s="12"/>
      <c r="L1390" s="12"/>
      <c r="M1390" s="11"/>
      <c r="N1390" s="11"/>
      <c r="O1390" s="11"/>
      <c r="P1390" s="11"/>
    </row>
    <row r="1391" spans="7:16" x14ac:dyDescent="0.25">
      <c r="G1391" s="17"/>
      <c r="H1391" s="12"/>
      <c r="I1391" s="12"/>
      <c r="J1391" s="12"/>
      <c r="K1391" s="12"/>
      <c r="L1391" s="12"/>
      <c r="M1391" s="11"/>
      <c r="N1391" s="11"/>
      <c r="O1391" s="11"/>
      <c r="P1391" s="11"/>
    </row>
    <row r="1392" spans="7:16" x14ac:dyDescent="0.25">
      <c r="G1392" s="17"/>
      <c r="H1392" s="12"/>
      <c r="I1392" s="12"/>
      <c r="J1392" s="12"/>
      <c r="K1392" s="12"/>
      <c r="L1392" s="12"/>
      <c r="M1392" s="11"/>
      <c r="N1392" s="11"/>
      <c r="O1392" s="11"/>
      <c r="P1392" s="11"/>
    </row>
    <row r="1393" spans="7:16" x14ac:dyDescent="0.25">
      <c r="G1393" s="17"/>
      <c r="H1393" s="12"/>
      <c r="I1393" s="12"/>
      <c r="J1393" s="12"/>
      <c r="K1393" s="12"/>
      <c r="L1393" s="12"/>
      <c r="M1393" s="11"/>
      <c r="N1393" s="11"/>
      <c r="O1393" s="11"/>
      <c r="P1393" s="11"/>
    </row>
    <row r="1394" spans="7:16" x14ac:dyDescent="0.25">
      <c r="G1394" s="17"/>
      <c r="H1394" s="12"/>
      <c r="I1394" s="12"/>
      <c r="J1394" s="12"/>
      <c r="K1394" s="12"/>
      <c r="L1394" s="12"/>
      <c r="M1394" s="11"/>
      <c r="N1394" s="11"/>
      <c r="O1394" s="11"/>
      <c r="P1394" s="11"/>
    </row>
    <row r="1395" spans="7:16" x14ac:dyDescent="0.25">
      <c r="G1395" s="17"/>
      <c r="H1395" s="12"/>
      <c r="I1395" s="12"/>
      <c r="J1395" s="12"/>
      <c r="K1395" s="12"/>
      <c r="L1395" s="12"/>
      <c r="M1395" s="11"/>
      <c r="N1395" s="11"/>
      <c r="O1395" s="11"/>
      <c r="P1395" s="11"/>
    </row>
    <row r="1396" spans="7:16" x14ac:dyDescent="0.25">
      <c r="G1396" s="17"/>
      <c r="H1396" s="12"/>
      <c r="I1396" s="12"/>
      <c r="J1396" s="12"/>
      <c r="K1396" s="12"/>
      <c r="L1396" s="12"/>
      <c r="M1396" s="11"/>
      <c r="N1396" s="11"/>
      <c r="O1396" s="11"/>
      <c r="P1396" s="11"/>
    </row>
    <row r="1397" spans="7:16" x14ac:dyDescent="0.25">
      <c r="G1397" s="17"/>
      <c r="H1397" s="12"/>
      <c r="I1397" s="12"/>
      <c r="J1397" s="12"/>
      <c r="K1397" s="12"/>
      <c r="L1397" s="12"/>
      <c r="M1397" s="11"/>
      <c r="N1397" s="11"/>
      <c r="O1397" s="11"/>
      <c r="P1397" s="11"/>
    </row>
    <row r="1398" spans="7:16" x14ac:dyDescent="0.25">
      <c r="G1398" s="17"/>
      <c r="H1398" s="12"/>
      <c r="I1398" s="12"/>
      <c r="J1398" s="12"/>
      <c r="K1398" s="12"/>
      <c r="L1398" s="12"/>
      <c r="M1398" s="11"/>
      <c r="N1398" s="11"/>
      <c r="O1398" s="11"/>
      <c r="P1398" s="11"/>
    </row>
    <row r="1399" spans="7:16" x14ac:dyDescent="0.25">
      <c r="G1399" s="17"/>
      <c r="H1399" s="12"/>
      <c r="I1399" s="12"/>
      <c r="J1399" s="12"/>
      <c r="K1399" s="12"/>
      <c r="L1399" s="12"/>
      <c r="M1399" s="11"/>
      <c r="N1399" s="11"/>
      <c r="O1399" s="11"/>
      <c r="P1399" s="11"/>
    </row>
    <row r="1400" spans="7:16" x14ac:dyDescent="0.25">
      <c r="G1400" s="17"/>
      <c r="H1400" s="12"/>
      <c r="I1400" s="12"/>
      <c r="J1400" s="12"/>
      <c r="K1400" s="12"/>
      <c r="L1400" s="12"/>
      <c r="M1400" s="11"/>
      <c r="N1400" s="11"/>
      <c r="O1400" s="11"/>
      <c r="P1400" s="11"/>
    </row>
    <row r="1401" spans="7:16" x14ac:dyDescent="0.25">
      <c r="G1401" s="17"/>
      <c r="H1401" s="12"/>
      <c r="I1401" s="12"/>
      <c r="J1401" s="12"/>
      <c r="K1401" s="12"/>
      <c r="L1401" s="12"/>
      <c r="M1401" s="11"/>
      <c r="N1401" s="11"/>
      <c r="O1401" s="11"/>
      <c r="P1401" s="11"/>
    </row>
    <row r="1402" spans="7:16" x14ac:dyDescent="0.25">
      <c r="G1402" s="17"/>
      <c r="H1402" s="12"/>
      <c r="I1402" s="12"/>
      <c r="J1402" s="12"/>
      <c r="K1402" s="12"/>
      <c r="L1402" s="12"/>
      <c r="M1402" s="11"/>
      <c r="N1402" s="11"/>
      <c r="O1402" s="11"/>
      <c r="P1402" s="11"/>
    </row>
    <row r="1403" spans="7:16" x14ac:dyDescent="0.25">
      <c r="G1403" s="17"/>
      <c r="H1403" s="12"/>
      <c r="I1403" s="12"/>
      <c r="J1403" s="12"/>
      <c r="K1403" s="12"/>
      <c r="L1403" s="12"/>
      <c r="M1403" s="11"/>
      <c r="N1403" s="11"/>
      <c r="O1403" s="11"/>
      <c r="P1403" s="11"/>
    </row>
    <row r="1404" spans="7:16" x14ac:dyDescent="0.25">
      <c r="G1404" s="17"/>
      <c r="H1404" s="12"/>
      <c r="I1404" s="12"/>
      <c r="J1404" s="12"/>
      <c r="K1404" s="12"/>
      <c r="L1404" s="12"/>
      <c r="M1404" s="11"/>
      <c r="N1404" s="11"/>
      <c r="O1404" s="11"/>
      <c r="P1404" s="11"/>
    </row>
    <row r="1405" spans="7:16" x14ac:dyDescent="0.25">
      <c r="G1405" s="17"/>
      <c r="H1405" s="12"/>
      <c r="I1405" s="12"/>
      <c r="J1405" s="12"/>
      <c r="K1405" s="12"/>
      <c r="L1405" s="12"/>
      <c r="M1405" s="11"/>
      <c r="N1405" s="11"/>
      <c r="O1405" s="11"/>
      <c r="P1405" s="11"/>
    </row>
    <row r="1406" spans="7:16" x14ac:dyDescent="0.25">
      <c r="G1406" s="17"/>
      <c r="H1406" s="12"/>
      <c r="I1406" s="12"/>
      <c r="J1406" s="12"/>
      <c r="K1406" s="12"/>
      <c r="L1406" s="12"/>
      <c r="M1406" s="11"/>
      <c r="N1406" s="11"/>
      <c r="O1406" s="11"/>
      <c r="P1406" s="11"/>
    </row>
    <row r="1407" spans="7:16" x14ac:dyDescent="0.25">
      <c r="G1407" s="17"/>
      <c r="H1407" s="12"/>
      <c r="I1407" s="12"/>
      <c r="J1407" s="12"/>
      <c r="K1407" s="12"/>
      <c r="L1407" s="12"/>
      <c r="M1407" s="11"/>
      <c r="N1407" s="11"/>
      <c r="O1407" s="11"/>
      <c r="P1407" s="11"/>
    </row>
    <row r="1408" spans="7:16" x14ac:dyDescent="0.25">
      <c r="G1408" s="17"/>
      <c r="H1408" s="12"/>
      <c r="I1408" s="12"/>
      <c r="J1408" s="12"/>
      <c r="K1408" s="12"/>
      <c r="L1408" s="12"/>
      <c r="M1408" s="11"/>
      <c r="N1408" s="11"/>
      <c r="O1408" s="11"/>
      <c r="P1408" s="11"/>
    </row>
    <row r="1409" spans="7:16" x14ac:dyDescent="0.25">
      <c r="G1409" s="17"/>
      <c r="H1409" s="12"/>
      <c r="I1409" s="12"/>
      <c r="J1409" s="12"/>
      <c r="K1409" s="12"/>
      <c r="L1409" s="12"/>
      <c r="M1409" s="11"/>
      <c r="N1409" s="11"/>
      <c r="O1409" s="11"/>
      <c r="P1409" s="11"/>
    </row>
    <row r="1410" spans="7:16" x14ac:dyDescent="0.25">
      <c r="G1410" s="17"/>
      <c r="H1410" s="12"/>
      <c r="I1410" s="12"/>
      <c r="J1410" s="12"/>
      <c r="K1410" s="12"/>
      <c r="L1410" s="12"/>
      <c r="M1410" s="11"/>
      <c r="N1410" s="11"/>
      <c r="O1410" s="11"/>
      <c r="P1410" s="11"/>
    </row>
    <row r="1411" spans="7:16" x14ac:dyDescent="0.25">
      <c r="G1411" s="17"/>
      <c r="H1411" s="12"/>
      <c r="I1411" s="12"/>
      <c r="J1411" s="12"/>
      <c r="K1411" s="12"/>
      <c r="L1411" s="12"/>
      <c r="M1411" s="11"/>
      <c r="N1411" s="11"/>
      <c r="O1411" s="11"/>
      <c r="P1411" s="11"/>
    </row>
    <row r="1412" spans="7:16" x14ac:dyDescent="0.25">
      <c r="G1412" s="17"/>
      <c r="H1412" s="12"/>
      <c r="I1412" s="12"/>
      <c r="J1412" s="12"/>
      <c r="K1412" s="12"/>
      <c r="L1412" s="12"/>
      <c r="M1412" s="11"/>
      <c r="N1412" s="11"/>
      <c r="O1412" s="11"/>
      <c r="P1412" s="11"/>
    </row>
    <row r="1413" spans="7:16" x14ac:dyDescent="0.25">
      <c r="G1413" s="17"/>
      <c r="H1413" s="12"/>
      <c r="I1413" s="12"/>
      <c r="J1413" s="12"/>
      <c r="K1413" s="12"/>
      <c r="L1413" s="12"/>
      <c r="M1413" s="11"/>
      <c r="N1413" s="11"/>
      <c r="O1413" s="11"/>
      <c r="P1413" s="11"/>
    </row>
    <row r="1414" spans="7:16" x14ac:dyDescent="0.25">
      <c r="G1414" s="17"/>
      <c r="H1414" s="12"/>
      <c r="I1414" s="12"/>
      <c r="J1414" s="12"/>
      <c r="K1414" s="12"/>
      <c r="L1414" s="12"/>
      <c r="M1414" s="11"/>
      <c r="N1414" s="11"/>
      <c r="O1414" s="11"/>
      <c r="P1414" s="11"/>
    </row>
    <row r="1415" spans="7:16" x14ac:dyDescent="0.25">
      <c r="G1415" s="17"/>
      <c r="H1415" s="12"/>
      <c r="I1415" s="12"/>
      <c r="J1415" s="12"/>
      <c r="K1415" s="12"/>
      <c r="L1415" s="12"/>
      <c r="M1415" s="11"/>
      <c r="N1415" s="11"/>
      <c r="O1415" s="11"/>
      <c r="P1415" s="11"/>
    </row>
    <row r="1416" spans="7:16" x14ac:dyDescent="0.25">
      <c r="G1416" s="17"/>
      <c r="H1416" s="12"/>
      <c r="I1416" s="12"/>
      <c r="J1416" s="12"/>
      <c r="K1416" s="12"/>
      <c r="L1416" s="12"/>
      <c r="M1416" s="11"/>
      <c r="N1416" s="11"/>
      <c r="O1416" s="11"/>
      <c r="P1416" s="11"/>
    </row>
    <row r="1417" spans="7:16" x14ac:dyDescent="0.25">
      <c r="G1417" s="17"/>
      <c r="H1417" s="12"/>
      <c r="I1417" s="12"/>
      <c r="J1417" s="12"/>
      <c r="K1417" s="12"/>
      <c r="L1417" s="12"/>
      <c r="M1417" s="11"/>
      <c r="N1417" s="11"/>
      <c r="O1417" s="11"/>
      <c r="P1417" s="11"/>
    </row>
    <row r="1418" spans="7:16" x14ac:dyDescent="0.25">
      <c r="G1418" s="17"/>
      <c r="H1418" s="12"/>
      <c r="I1418" s="12"/>
      <c r="J1418" s="12"/>
      <c r="K1418" s="12"/>
      <c r="L1418" s="12"/>
      <c r="M1418" s="11"/>
      <c r="N1418" s="11"/>
      <c r="O1418" s="11"/>
      <c r="P1418" s="11"/>
    </row>
    <row r="1419" spans="7:16" x14ac:dyDescent="0.25">
      <c r="G1419" s="17"/>
      <c r="H1419" s="12"/>
      <c r="I1419" s="12"/>
      <c r="J1419" s="12"/>
      <c r="K1419" s="12"/>
      <c r="L1419" s="12"/>
      <c r="M1419" s="11"/>
      <c r="N1419" s="11"/>
      <c r="O1419" s="11"/>
      <c r="P1419" s="11"/>
    </row>
    <row r="1420" spans="7:16" x14ac:dyDescent="0.25">
      <c r="G1420" s="17"/>
      <c r="H1420" s="12"/>
      <c r="I1420" s="12"/>
      <c r="J1420" s="12"/>
      <c r="K1420" s="12"/>
      <c r="L1420" s="12"/>
      <c r="M1420" s="11"/>
      <c r="N1420" s="11"/>
      <c r="O1420" s="11"/>
      <c r="P1420" s="11"/>
    </row>
    <row r="1421" spans="7:16" x14ac:dyDescent="0.25">
      <c r="G1421" s="17"/>
      <c r="H1421" s="12"/>
      <c r="I1421" s="12"/>
      <c r="J1421" s="12"/>
      <c r="K1421" s="12"/>
      <c r="L1421" s="12"/>
      <c r="M1421" s="11"/>
      <c r="N1421" s="11"/>
      <c r="O1421" s="11"/>
      <c r="P1421" s="11"/>
    </row>
    <row r="1422" spans="7:16" x14ac:dyDescent="0.25">
      <c r="G1422" s="17"/>
      <c r="H1422" s="12"/>
      <c r="I1422" s="12"/>
      <c r="J1422" s="12"/>
      <c r="K1422" s="12"/>
      <c r="L1422" s="12"/>
      <c r="M1422" s="11"/>
      <c r="N1422" s="11"/>
      <c r="O1422" s="11"/>
      <c r="P1422" s="11"/>
    </row>
    <row r="1423" spans="7:16" x14ac:dyDescent="0.25">
      <c r="G1423" s="17"/>
      <c r="H1423" s="12"/>
      <c r="I1423" s="12"/>
      <c r="J1423" s="12"/>
      <c r="K1423" s="12"/>
      <c r="L1423" s="12"/>
      <c r="M1423" s="11"/>
      <c r="N1423" s="11"/>
      <c r="O1423" s="11"/>
      <c r="P1423" s="11"/>
    </row>
    <row r="1424" spans="7:16" x14ac:dyDescent="0.25">
      <c r="G1424" s="17"/>
      <c r="H1424" s="12"/>
      <c r="I1424" s="12"/>
      <c r="J1424" s="12"/>
      <c r="K1424" s="12"/>
      <c r="L1424" s="12"/>
      <c r="M1424" s="11"/>
      <c r="N1424" s="11"/>
      <c r="O1424" s="11"/>
      <c r="P1424" s="11"/>
    </row>
    <row r="1425" spans="7:16" x14ac:dyDescent="0.25">
      <c r="G1425" s="17"/>
      <c r="H1425" s="12"/>
      <c r="I1425" s="12"/>
      <c r="J1425" s="12"/>
      <c r="K1425" s="12"/>
      <c r="L1425" s="12"/>
      <c r="M1425" s="11"/>
      <c r="N1425" s="11"/>
      <c r="O1425" s="11"/>
      <c r="P1425" s="11"/>
    </row>
    <row r="1426" spans="7:16" x14ac:dyDescent="0.25">
      <c r="G1426" s="17"/>
      <c r="H1426" s="12"/>
      <c r="I1426" s="12"/>
      <c r="J1426" s="12"/>
      <c r="K1426" s="12"/>
      <c r="L1426" s="12"/>
      <c r="M1426" s="11"/>
      <c r="N1426" s="11"/>
      <c r="O1426" s="11"/>
      <c r="P1426" s="11"/>
    </row>
    <row r="1427" spans="7:16" x14ac:dyDescent="0.25">
      <c r="G1427" s="17"/>
      <c r="H1427" s="12"/>
      <c r="I1427" s="12"/>
      <c r="J1427" s="12"/>
      <c r="K1427" s="12"/>
      <c r="L1427" s="12"/>
      <c r="M1427" s="11"/>
      <c r="N1427" s="11"/>
      <c r="O1427" s="11"/>
      <c r="P1427" s="11"/>
    </row>
    <row r="1428" spans="7:16" x14ac:dyDescent="0.25">
      <c r="G1428" s="17"/>
      <c r="H1428" s="12"/>
      <c r="I1428" s="12"/>
      <c r="J1428" s="12"/>
      <c r="K1428" s="12"/>
      <c r="L1428" s="12"/>
      <c r="M1428" s="11"/>
      <c r="N1428" s="11"/>
      <c r="O1428" s="11"/>
      <c r="P1428" s="11"/>
    </row>
    <row r="1429" spans="7:16" x14ac:dyDescent="0.25">
      <c r="G1429" s="17"/>
      <c r="H1429" s="12"/>
      <c r="I1429" s="12"/>
      <c r="J1429" s="12"/>
      <c r="K1429" s="12"/>
      <c r="L1429" s="12"/>
      <c r="M1429" s="11"/>
      <c r="N1429" s="11"/>
      <c r="O1429" s="11"/>
      <c r="P1429" s="11"/>
    </row>
    <row r="1430" spans="7:16" x14ac:dyDescent="0.25">
      <c r="G1430" s="17"/>
      <c r="H1430" s="12"/>
      <c r="I1430" s="12"/>
      <c r="J1430" s="12"/>
      <c r="K1430" s="12"/>
      <c r="L1430" s="12"/>
      <c r="M1430" s="11"/>
      <c r="N1430" s="11"/>
      <c r="O1430" s="11"/>
      <c r="P1430" s="11"/>
    </row>
    <row r="1431" spans="7:16" x14ac:dyDescent="0.25">
      <c r="G1431" s="17"/>
      <c r="H1431" s="12"/>
      <c r="I1431" s="12"/>
      <c r="J1431" s="12"/>
      <c r="K1431" s="12"/>
      <c r="L1431" s="12"/>
      <c r="M1431" s="11"/>
      <c r="N1431" s="11"/>
      <c r="O1431" s="11"/>
      <c r="P1431" s="11"/>
    </row>
    <row r="1432" spans="7:16" x14ac:dyDescent="0.25">
      <c r="G1432" s="17"/>
      <c r="H1432" s="12"/>
      <c r="I1432" s="12"/>
      <c r="J1432" s="12"/>
      <c r="K1432" s="12"/>
      <c r="L1432" s="12"/>
      <c r="M1432" s="11"/>
      <c r="N1432" s="11"/>
      <c r="O1432" s="11"/>
      <c r="P1432" s="11"/>
    </row>
    <row r="1433" spans="7:16" x14ac:dyDescent="0.25">
      <c r="G1433" s="17"/>
      <c r="H1433" s="12"/>
      <c r="I1433" s="12"/>
      <c r="J1433" s="12"/>
      <c r="K1433" s="12"/>
      <c r="L1433" s="12"/>
      <c r="M1433" s="11"/>
      <c r="N1433" s="11"/>
      <c r="O1433" s="11"/>
      <c r="P1433" s="11"/>
    </row>
    <row r="1434" spans="7:16" x14ac:dyDescent="0.25">
      <c r="G1434" s="17"/>
      <c r="H1434" s="12"/>
      <c r="I1434" s="12"/>
      <c r="J1434" s="12"/>
      <c r="K1434" s="12"/>
      <c r="L1434" s="12"/>
      <c r="M1434" s="11"/>
      <c r="N1434" s="11"/>
      <c r="O1434" s="11"/>
      <c r="P1434" s="11"/>
    </row>
    <row r="1435" spans="7:16" x14ac:dyDescent="0.25">
      <c r="G1435" s="17"/>
      <c r="H1435" s="12"/>
      <c r="I1435" s="12"/>
      <c r="J1435" s="12"/>
      <c r="K1435" s="12"/>
      <c r="L1435" s="12"/>
      <c r="M1435" s="11"/>
      <c r="N1435" s="11"/>
      <c r="O1435" s="11"/>
      <c r="P1435" s="11"/>
    </row>
    <row r="1436" spans="7:16" x14ac:dyDescent="0.25">
      <c r="G1436" s="17"/>
      <c r="H1436" s="12"/>
      <c r="I1436" s="12"/>
      <c r="J1436" s="12"/>
      <c r="K1436" s="12"/>
      <c r="L1436" s="12"/>
      <c r="M1436" s="11"/>
      <c r="N1436" s="11"/>
      <c r="O1436" s="11"/>
      <c r="P1436" s="11"/>
    </row>
    <row r="1437" spans="7:16" x14ac:dyDescent="0.25">
      <c r="G1437" s="17"/>
      <c r="H1437" s="12"/>
      <c r="I1437" s="12"/>
      <c r="J1437" s="12"/>
      <c r="K1437" s="12"/>
      <c r="L1437" s="12"/>
      <c r="M1437" s="11"/>
      <c r="N1437" s="11"/>
      <c r="O1437" s="11"/>
      <c r="P1437" s="11"/>
    </row>
    <row r="1438" spans="7:16" x14ac:dyDescent="0.25">
      <c r="G1438" s="17"/>
      <c r="H1438" s="12"/>
      <c r="I1438" s="12"/>
      <c r="J1438" s="12"/>
      <c r="K1438" s="12"/>
      <c r="L1438" s="12"/>
      <c r="M1438" s="11"/>
      <c r="N1438" s="11"/>
      <c r="O1438" s="11"/>
      <c r="P1438" s="11"/>
    </row>
    <row r="1439" spans="7:16" x14ac:dyDescent="0.25">
      <c r="G1439" s="17"/>
      <c r="H1439" s="12"/>
      <c r="I1439" s="12"/>
      <c r="J1439" s="12"/>
      <c r="K1439" s="12"/>
      <c r="L1439" s="12"/>
      <c r="M1439" s="11"/>
      <c r="N1439" s="11"/>
      <c r="O1439" s="11"/>
      <c r="P1439" s="11"/>
    </row>
    <row r="1440" spans="7:16" x14ac:dyDescent="0.25">
      <c r="G1440" s="17"/>
      <c r="H1440" s="12"/>
      <c r="I1440" s="12"/>
      <c r="J1440" s="12"/>
      <c r="K1440" s="12"/>
      <c r="L1440" s="12"/>
      <c r="M1440" s="11"/>
      <c r="N1440" s="11"/>
      <c r="O1440" s="11"/>
      <c r="P1440" s="11"/>
    </row>
    <row r="1441" spans="7:16" x14ac:dyDescent="0.25">
      <c r="G1441" s="17"/>
      <c r="H1441" s="12"/>
      <c r="I1441" s="12"/>
      <c r="J1441" s="12"/>
      <c r="K1441" s="12"/>
      <c r="L1441" s="12"/>
      <c r="M1441" s="11"/>
      <c r="N1441" s="11"/>
      <c r="O1441" s="11"/>
      <c r="P1441" s="11"/>
    </row>
    <row r="1442" spans="7:16" x14ac:dyDescent="0.25">
      <c r="G1442" s="17"/>
      <c r="H1442" s="12"/>
      <c r="I1442" s="12"/>
      <c r="J1442" s="12"/>
      <c r="K1442" s="12"/>
      <c r="L1442" s="12"/>
      <c r="M1442" s="11"/>
      <c r="N1442" s="11"/>
      <c r="O1442" s="11"/>
      <c r="P1442" s="11"/>
    </row>
    <row r="1443" spans="7:16" x14ac:dyDescent="0.25">
      <c r="G1443" s="17"/>
      <c r="H1443" s="12"/>
      <c r="I1443" s="12"/>
      <c r="J1443" s="12"/>
      <c r="K1443" s="12"/>
      <c r="L1443" s="12"/>
      <c r="M1443" s="11"/>
      <c r="N1443" s="11"/>
      <c r="O1443" s="11"/>
      <c r="P1443" s="11"/>
    </row>
    <row r="1444" spans="7:16" x14ac:dyDescent="0.25">
      <c r="G1444" s="17"/>
      <c r="H1444" s="12"/>
      <c r="I1444" s="12"/>
      <c r="J1444" s="12"/>
      <c r="K1444" s="12"/>
      <c r="L1444" s="12"/>
      <c r="M1444" s="11"/>
      <c r="N1444" s="11"/>
      <c r="O1444" s="11"/>
      <c r="P1444" s="11"/>
    </row>
    <row r="1445" spans="7:16" x14ac:dyDescent="0.25">
      <c r="G1445" s="17"/>
      <c r="H1445" s="12"/>
      <c r="I1445" s="12"/>
      <c r="J1445" s="12"/>
      <c r="K1445" s="12"/>
      <c r="L1445" s="12"/>
      <c r="M1445" s="11"/>
      <c r="N1445" s="11"/>
      <c r="O1445" s="11"/>
      <c r="P1445" s="11"/>
    </row>
    <row r="1446" spans="7:16" x14ac:dyDescent="0.25">
      <c r="G1446" s="17"/>
      <c r="H1446" s="12"/>
      <c r="I1446" s="12"/>
      <c r="J1446" s="12"/>
      <c r="K1446" s="12"/>
      <c r="L1446" s="12"/>
      <c r="M1446" s="11"/>
      <c r="N1446" s="11"/>
      <c r="O1446" s="11"/>
      <c r="P1446" s="11"/>
    </row>
    <row r="1447" spans="7:16" x14ac:dyDescent="0.25">
      <c r="G1447" s="17"/>
      <c r="H1447" s="12"/>
      <c r="I1447" s="12"/>
      <c r="J1447" s="12"/>
      <c r="K1447" s="12"/>
      <c r="L1447" s="12"/>
      <c r="M1447" s="11"/>
      <c r="N1447" s="11"/>
      <c r="O1447" s="11"/>
      <c r="P1447" s="11"/>
    </row>
    <row r="1448" spans="7:16" x14ac:dyDescent="0.25">
      <c r="G1448" s="17"/>
      <c r="H1448" s="12"/>
      <c r="I1448" s="12"/>
      <c r="J1448" s="12"/>
      <c r="K1448" s="12"/>
      <c r="L1448" s="12"/>
      <c r="M1448" s="11"/>
      <c r="N1448" s="11"/>
      <c r="O1448" s="11"/>
      <c r="P1448" s="11"/>
    </row>
    <row r="1449" spans="7:16" x14ac:dyDescent="0.25">
      <c r="G1449" s="17"/>
      <c r="H1449" s="12"/>
      <c r="I1449" s="12"/>
      <c r="J1449" s="12"/>
      <c r="K1449" s="12"/>
      <c r="L1449" s="12"/>
      <c r="M1449" s="11"/>
      <c r="N1449" s="11"/>
      <c r="O1449" s="11"/>
      <c r="P1449" s="11"/>
    </row>
    <row r="1450" spans="7:16" x14ac:dyDescent="0.25">
      <c r="G1450" s="17"/>
      <c r="H1450" s="12"/>
      <c r="I1450" s="12"/>
      <c r="J1450" s="12"/>
      <c r="K1450" s="12"/>
      <c r="L1450" s="12"/>
      <c r="M1450" s="11"/>
      <c r="N1450" s="11"/>
      <c r="O1450" s="11"/>
      <c r="P1450" s="11"/>
    </row>
    <row r="1451" spans="7:16" x14ac:dyDescent="0.25">
      <c r="G1451" s="17"/>
      <c r="H1451" s="12"/>
      <c r="I1451" s="12"/>
      <c r="J1451" s="12"/>
      <c r="K1451" s="12"/>
      <c r="L1451" s="12"/>
      <c r="M1451" s="11"/>
      <c r="N1451" s="11"/>
      <c r="O1451" s="11"/>
      <c r="P1451" s="11"/>
    </row>
    <row r="1452" spans="7:16" x14ac:dyDescent="0.25">
      <c r="G1452" s="17"/>
      <c r="H1452" s="12"/>
      <c r="I1452" s="12"/>
      <c r="J1452" s="12"/>
      <c r="K1452" s="12"/>
      <c r="L1452" s="12"/>
      <c r="M1452" s="11"/>
      <c r="N1452" s="11"/>
      <c r="O1452" s="11"/>
      <c r="P1452" s="11"/>
    </row>
    <row r="1453" spans="7:16" x14ac:dyDescent="0.25">
      <c r="G1453" s="17"/>
      <c r="H1453" s="12"/>
      <c r="I1453" s="12"/>
      <c r="J1453" s="12"/>
      <c r="K1453" s="12"/>
      <c r="L1453" s="12"/>
      <c r="M1453" s="11"/>
      <c r="N1453" s="11"/>
      <c r="O1453" s="11"/>
      <c r="P1453" s="11"/>
    </row>
    <row r="1454" spans="7:16" x14ac:dyDescent="0.25">
      <c r="G1454" s="17"/>
      <c r="H1454" s="12"/>
      <c r="I1454" s="12"/>
      <c r="J1454" s="12"/>
      <c r="K1454" s="12"/>
      <c r="L1454" s="12"/>
      <c r="M1454" s="11"/>
      <c r="N1454" s="11"/>
      <c r="O1454" s="11"/>
      <c r="P1454" s="11"/>
    </row>
    <row r="1455" spans="7:16" x14ac:dyDescent="0.25">
      <c r="G1455" s="17"/>
      <c r="H1455" s="12"/>
      <c r="I1455" s="12"/>
      <c r="J1455" s="12"/>
      <c r="K1455" s="12"/>
      <c r="L1455" s="12"/>
      <c r="M1455" s="11"/>
      <c r="N1455" s="11"/>
      <c r="O1455" s="11"/>
      <c r="P1455" s="11"/>
    </row>
    <row r="1456" spans="7:16" x14ac:dyDescent="0.25">
      <c r="G1456" s="17"/>
      <c r="H1456" s="12"/>
      <c r="I1456" s="12"/>
      <c r="J1456" s="12"/>
      <c r="K1456" s="12"/>
      <c r="L1456" s="12"/>
      <c r="M1456" s="11"/>
      <c r="N1456" s="11"/>
      <c r="O1456" s="11"/>
      <c r="P1456" s="11"/>
    </row>
    <row r="1457" spans="7:16" x14ac:dyDescent="0.25">
      <c r="G1457" s="17"/>
      <c r="H1457" s="12"/>
      <c r="I1457" s="12"/>
      <c r="J1457" s="12"/>
      <c r="K1457" s="12"/>
      <c r="L1457" s="12"/>
      <c r="M1457" s="11"/>
      <c r="N1457" s="11"/>
      <c r="O1457" s="11"/>
      <c r="P1457" s="11"/>
    </row>
    <row r="1458" spans="7:16" x14ac:dyDescent="0.25">
      <c r="G1458" s="17"/>
      <c r="H1458" s="12"/>
      <c r="I1458" s="12"/>
      <c r="J1458" s="12"/>
      <c r="K1458" s="12"/>
      <c r="L1458" s="12"/>
      <c r="M1458" s="11"/>
      <c r="N1458" s="11"/>
      <c r="O1458" s="11"/>
      <c r="P1458" s="11"/>
    </row>
    <row r="1459" spans="7:16" x14ac:dyDescent="0.25">
      <c r="G1459" s="17"/>
      <c r="H1459" s="12"/>
      <c r="I1459" s="12"/>
      <c r="J1459" s="12"/>
      <c r="K1459" s="12"/>
      <c r="L1459" s="12"/>
      <c r="M1459" s="11"/>
      <c r="N1459" s="11"/>
      <c r="O1459" s="11"/>
      <c r="P1459" s="11"/>
    </row>
    <row r="1460" spans="7:16" x14ac:dyDescent="0.25">
      <c r="G1460" s="17"/>
      <c r="H1460" s="12"/>
      <c r="I1460" s="12"/>
      <c r="J1460" s="12"/>
      <c r="K1460" s="12"/>
      <c r="L1460" s="12"/>
      <c r="M1460" s="11"/>
      <c r="N1460" s="11"/>
      <c r="O1460" s="11"/>
      <c r="P1460" s="11"/>
    </row>
    <row r="1461" spans="7:16" x14ac:dyDescent="0.25">
      <c r="G1461" s="17"/>
      <c r="H1461" s="12"/>
      <c r="I1461" s="12"/>
      <c r="J1461" s="12"/>
      <c r="K1461" s="12"/>
      <c r="L1461" s="12"/>
      <c r="M1461" s="11"/>
      <c r="N1461" s="11"/>
      <c r="O1461" s="11"/>
      <c r="P1461" s="11"/>
    </row>
    <row r="1462" spans="7:16" x14ac:dyDescent="0.25">
      <c r="G1462" s="17"/>
      <c r="H1462" s="12"/>
      <c r="I1462" s="12"/>
      <c r="J1462" s="12"/>
      <c r="K1462" s="12"/>
      <c r="L1462" s="12"/>
      <c r="M1462" s="11"/>
      <c r="N1462" s="11"/>
      <c r="O1462" s="11"/>
      <c r="P1462" s="11"/>
    </row>
    <row r="1463" spans="7:16" x14ac:dyDescent="0.25">
      <c r="G1463" s="17"/>
      <c r="H1463" s="12"/>
      <c r="I1463" s="12"/>
      <c r="J1463" s="12"/>
      <c r="K1463" s="12"/>
      <c r="L1463" s="12"/>
      <c r="M1463" s="11"/>
      <c r="N1463" s="11"/>
      <c r="O1463" s="11"/>
      <c r="P1463" s="11"/>
    </row>
    <row r="1464" spans="7:16" x14ac:dyDescent="0.25">
      <c r="G1464" s="17"/>
      <c r="H1464" s="12"/>
      <c r="I1464" s="12"/>
      <c r="J1464" s="12"/>
      <c r="K1464" s="12"/>
      <c r="L1464" s="12"/>
      <c r="M1464" s="11"/>
      <c r="N1464" s="11"/>
      <c r="O1464" s="11"/>
      <c r="P1464" s="11"/>
    </row>
    <row r="1465" spans="7:16" x14ac:dyDescent="0.25">
      <c r="G1465" s="17"/>
      <c r="H1465" s="12"/>
      <c r="I1465" s="12"/>
      <c r="J1465" s="12"/>
      <c r="K1465" s="12"/>
      <c r="L1465" s="12"/>
      <c r="M1465" s="11"/>
      <c r="N1465" s="11"/>
      <c r="O1465" s="11"/>
      <c r="P1465" s="11"/>
    </row>
    <row r="1466" spans="7:16" x14ac:dyDescent="0.25">
      <c r="G1466" s="17"/>
      <c r="H1466" s="12"/>
      <c r="I1466" s="12"/>
      <c r="J1466" s="12"/>
      <c r="K1466" s="12"/>
      <c r="L1466" s="12"/>
      <c r="M1466" s="11"/>
      <c r="N1466" s="11"/>
      <c r="O1466" s="11"/>
      <c r="P1466" s="11"/>
    </row>
    <row r="1467" spans="7:16" x14ac:dyDescent="0.25">
      <c r="G1467" s="17"/>
      <c r="H1467" s="12"/>
      <c r="I1467" s="12"/>
      <c r="J1467" s="12"/>
      <c r="K1467" s="12"/>
      <c r="L1467" s="12"/>
      <c r="M1467" s="11"/>
      <c r="N1467" s="11"/>
      <c r="O1467" s="11"/>
      <c r="P1467" s="11"/>
    </row>
    <row r="1468" spans="7:16" x14ac:dyDescent="0.25">
      <c r="G1468" s="17"/>
      <c r="H1468" s="12"/>
      <c r="I1468" s="12"/>
      <c r="J1468" s="12"/>
      <c r="K1468" s="12"/>
      <c r="L1468" s="12"/>
      <c r="M1468" s="11"/>
      <c r="N1468" s="11"/>
      <c r="O1468" s="11"/>
      <c r="P1468" s="11"/>
    </row>
    <row r="1469" spans="7:16" x14ac:dyDescent="0.25">
      <c r="G1469" s="17"/>
      <c r="H1469" s="12"/>
      <c r="I1469" s="12"/>
      <c r="J1469" s="12"/>
      <c r="K1469" s="12"/>
      <c r="L1469" s="12"/>
      <c r="M1469" s="11"/>
      <c r="N1469" s="11"/>
      <c r="O1469" s="11"/>
      <c r="P1469" s="11"/>
    </row>
    <row r="1470" spans="7:16" x14ac:dyDescent="0.25">
      <c r="G1470" s="17"/>
      <c r="H1470" s="12"/>
      <c r="I1470" s="12"/>
      <c r="J1470" s="12"/>
      <c r="K1470" s="12"/>
      <c r="L1470" s="12"/>
      <c r="M1470" s="11"/>
      <c r="N1470" s="11"/>
      <c r="O1470" s="11"/>
      <c r="P1470" s="11"/>
    </row>
    <row r="1471" spans="7:16" x14ac:dyDescent="0.25">
      <c r="G1471" s="17"/>
      <c r="H1471" s="12"/>
      <c r="I1471" s="12"/>
      <c r="J1471" s="12"/>
      <c r="K1471" s="12"/>
      <c r="L1471" s="12"/>
      <c r="M1471" s="11"/>
      <c r="N1471" s="11"/>
      <c r="O1471" s="11"/>
      <c r="P1471" s="11"/>
    </row>
    <row r="1472" spans="7:16" x14ac:dyDescent="0.25">
      <c r="G1472" s="17"/>
      <c r="H1472" s="12"/>
      <c r="I1472" s="12"/>
      <c r="J1472" s="12"/>
      <c r="K1472" s="12"/>
      <c r="L1472" s="12"/>
      <c r="M1472" s="11"/>
      <c r="N1472" s="11"/>
      <c r="O1472" s="11"/>
      <c r="P1472" s="11"/>
    </row>
    <row r="1473" spans="7:16" x14ac:dyDescent="0.25">
      <c r="G1473" s="17"/>
      <c r="H1473" s="12"/>
      <c r="I1473" s="12"/>
      <c r="J1473" s="12"/>
      <c r="K1473" s="12"/>
      <c r="L1473" s="12"/>
      <c r="M1473" s="11"/>
      <c r="N1473" s="11"/>
      <c r="O1473" s="11"/>
      <c r="P1473" s="11"/>
    </row>
    <row r="1474" spans="7:16" x14ac:dyDescent="0.25">
      <c r="G1474" s="17"/>
      <c r="H1474" s="12"/>
      <c r="I1474" s="12"/>
      <c r="J1474" s="12"/>
      <c r="K1474" s="12"/>
      <c r="L1474" s="12"/>
      <c r="M1474" s="11"/>
      <c r="N1474" s="11"/>
      <c r="O1474" s="11"/>
      <c r="P1474" s="11"/>
    </row>
    <row r="1475" spans="7:16" x14ac:dyDescent="0.25">
      <c r="G1475" s="17"/>
      <c r="H1475" s="12"/>
      <c r="I1475" s="12"/>
      <c r="J1475" s="12"/>
      <c r="K1475" s="12"/>
      <c r="L1475" s="12"/>
      <c r="M1475" s="11"/>
      <c r="N1475" s="11"/>
      <c r="O1475" s="11"/>
      <c r="P1475" s="11"/>
    </row>
    <row r="1476" spans="7:16" x14ac:dyDescent="0.25">
      <c r="G1476" s="17"/>
      <c r="H1476" s="12"/>
      <c r="I1476" s="12"/>
      <c r="J1476" s="12"/>
      <c r="K1476" s="12"/>
      <c r="L1476" s="12"/>
      <c r="M1476" s="11"/>
      <c r="N1476" s="11"/>
      <c r="O1476" s="11"/>
      <c r="P1476" s="11"/>
    </row>
    <row r="1477" spans="7:16" x14ac:dyDescent="0.25">
      <c r="G1477" s="17"/>
      <c r="H1477" s="12"/>
      <c r="I1477" s="12"/>
      <c r="J1477" s="12"/>
      <c r="K1477" s="12"/>
      <c r="L1477" s="12"/>
      <c r="M1477" s="11"/>
      <c r="N1477" s="11"/>
      <c r="O1477" s="11"/>
      <c r="P1477" s="11"/>
    </row>
    <row r="1478" spans="7:16" x14ac:dyDescent="0.25">
      <c r="G1478" s="17"/>
      <c r="H1478" s="12"/>
      <c r="I1478" s="12"/>
      <c r="J1478" s="12"/>
      <c r="K1478" s="12"/>
      <c r="L1478" s="12"/>
      <c r="M1478" s="11"/>
      <c r="N1478" s="11"/>
      <c r="O1478" s="11"/>
      <c r="P1478" s="11"/>
    </row>
    <row r="1479" spans="7:16" x14ac:dyDescent="0.25">
      <c r="G1479" s="17"/>
      <c r="H1479" s="12"/>
      <c r="I1479" s="12"/>
      <c r="J1479" s="12"/>
      <c r="K1479" s="12"/>
      <c r="L1479" s="12"/>
      <c r="M1479" s="11"/>
      <c r="N1479" s="11"/>
      <c r="O1479" s="11"/>
      <c r="P1479" s="11"/>
    </row>
    <row r="1480" spans="7:16" x14ac:dyDescent="0.25">
      <c r="G1480" s="17"/>
      <c r="H1480" s="12"/>
      <c r="I1480" s="12"/>
      <c r="J1480" s="12"/>
      <c r="K1480" s="12"/>
      <c r="L1480" s="12"/>
      <c r="M1480" s="11"/>
      <c r="N1480" s="11"/>
      <c r="O1480" s="11"/>
      <c r="P1480" s="11"/>
    </row>
    <row r="1481" spans="7:16" x14ac:dyDescent="0.25">
      <c r="G1481" s="17"/>
      <c r="H1481" s="12"/>
      <c r="I1481" s="12"/>
      <c r="J1481" s="12"/>
      <c r="K1481" s="12"/>
      <c r="L1481" s="12"/>
      <c r="M1481" s="11"/>
      <c r="N1481" s="11"/>
      <c r="O1481" s="11"/>
      <c r="P1481" s="11"/>
    </row>
    <row r="1482" spans="7:16" x14ac:dyDescent="0.25">
      <c r="G1482" s="17"/>
      <c r="H1482" s="12"/>
      <c r="I1482" s="12"/>
      <c r="J1482" s="12"/>
      <c r="K1482" s="12"/>
      <c r="L1482" s="12"/>
      <c r="M1482" s="11"/>
      <c r="N1482" s="11"/>
      <c r="O1482" s="11"/>
      <c r="P1482" s="11"/>
    </row>
    <row r="1483" spans="7:16" x14ac:dyDescent="0.25">
      <c r="G1483" s="17"/>
      <c r="H1483" s="12"/>
      <c r="I1483" s="12"/>
      <c r="J1483" s="12"/>
      <c r="K1483" s="12"/>
      <c r="L1483" s="12"/>
      <c r="M1483" s="11"/>
      <c r="N1483" s="11"/>
      <c r="O1483" s="11"/>
      <c r="P1483" s="11"/>
    </row>
    <row r="1484" spans="7:16" x14ac:dyDescent="0.25">
      <c r="G1484" s="17"/>
      <c r="H1484" s="12"/>
      <c r="I1484" s="12"/>
      <c r="J1484" s="12"/>
      <c r="K1484" s="12"/>
      <c r="L1484" s="12"/>
      <c r="M1484" s="11"/>
      <c r="N1484" s="11"/>
      <c r="O1484" s="11"/>
      <c r="P1484" s="11"/>
    </row>
    <row r="1485" spans="7:16" x14ac:dyDescent="0.25">
      <c r="G1485" s="17"/>
      <c r="H1485" s="12"/>
      <c r="I1485" s="12"/>
      <c r="J1485" s="12"/>
      <c r="K1485" s="12"/>
      <c r="L1485" s="12"/>
      <c r="M1485" s="11"/>
      <c r="N1485" s="11"/>
      <c r="O1485" s="11"/>
      <c r="P1485" s="11"/>
    </row>
    <row r="1486" spans="7:16" x14ac:dyDescent="0.25">
      <c r="G1486" s="17"/>
      <c r="H1486" s="12"/>
      <c r="I1486" s="12"/>
      <c r="J1486" s="12"/>
      <c r="K1486" s="12"/>
      <c r="L1486" s="12"/>
      <c r="M1486" s="11"/>
      <c r="N1486" s="11"/>
      <c r="O1486" s="11"/>
      <c r="P1486" s="11"/>
    </row>
    <row r="1487" spans="7:16" x14ac:dyDescent="0.25">
      <c r="G1487" s="17"/>
      <c r="H1487" s="12"/>
      <c r="I1487" s="12"/>
      <c r="J1487" s="12"/>
      <c r="K1487" s="12"/>
      <c r="L1487" s="12"/>
      <c r="M1487" s="11"/>
      <c r="N1487" s="11"/>
      <c r="O1487" s="11"/>
      <c r="P1487" s="11"/>
    </row>
    <row r="1488" spans="7:16" x14ac:dyDescent="0.25">
      <c r="G1488" s="17"/>
      <c r="H1488" s="12"/>
      <c r="I1488" s="12"/>
      <c r="J1488" s="12"/>
      <c r="K1488" s="12"/>
      <c r="L1488" s="12"/>
      <c r="M1488" s="11"/>
      <c r="N1488" s="11"/>
      <c r="O1488" s="11"/>
      <c r="P1488" s="11"/>
    </row>
    <row r="1489" spans="7:16" x14ac:dyDescent="0.25">
      <c r="G1489" s="17"/>
      <c r="H1489" s="12"/>
      <c r="I1489" s="12"/>
      <c r="J1489" s="12"/>
      <c r="K1489" s="12"/>
      <c r="L1489" s="12"/>
      <c r="M1489" s="11"/>
      <c r="N1489" s="11"/>
      <c r="O1489" s="11"/>
      <c r="P1489" s="11"/>
    </row>
    <row r="1490" spans="7:16" x14ac:dyDescent="0.25">
      <c r="G1490" s="17"/>
      <c r="H1490" s="12"/>
      <c r="I1490" s="12"/>
      <c r="J1490" s="12"/>
      <c r="K1490" s="12"/>
      <c r="L1490" s="12"/>
      <c r="M1490" s="11"/>
      <c r="N1490" s="11"/>
      <c r="O1490" s="11"/>
      <c r="P1490" s="11"/>
    </row>
    <row r="1491" spans="7:16" x14ac:dyDescent="0.25">
      <c r="G1491" s="17"/>
      <c r="H1491" s="12"/>
      <c r="I1491" s="12"/>
      <c r="J1491" s="12"/>
      <c r="K1491" s="12"/>
      <c r="L1491" s="12"/>
      <c r="M1491" s="11"/>
      <c r="N1491" s="11"/>
      <c r="O1491" s="11"/>
      <c r="P1491" s="11"/>
    </row>
    <row r="1492" spans="7:16" x14ac:dyDescent="0.25">
      <c r="G1492" s="17"/>
      <c r="H1492" s="12"/>
      <c r="I1492" s="12"/>
      <c r="J1492" s="12"/>
      <c r="K1492" s="12"/>
      <c r="L1492" s="12"/>
      <c r="M1492" s="11"/>
      <c r="N1492" s="11"/>
      <c r="O1492" s="11"/>
      <c r="P1492" s="11"/>
    </row>
    <row r="1493" spans="7:16" x14ac:dyDescent="0.25">
      <c r="G1493" s="17"/>
      <c r="H1493" s="12"/>
      <c r="I1493" s="12"/>
      <c r="J1493" s="12"/>
      <c r="K1493" s="12"/>
      <c r="L1493" s="12"/>
      <c r="M1493" s="11"/>
      <c r="N1493" s="11"/>
      <c r="O1493" s="11"/>
      <c r="P1493" s="11"/>
    </row>
    <row r="1494" spans="7:16" x14ac:dyDescent="0.25">
      <c r="G1494" s="17"/>
      <c r="H1494" s="12"/>
      <c r="I1494" s="12"/>
      <c r="J1494" s="12"/>
      <c r="K1494" s="12"/>
      <c r="L1494" s="12"/>
      <c r="M1494" s="11"/>
      <c r="N1494" s="11"/>
      <c r="O1494" s="11"/>
      <c r="P1494" s="11"/>
    </row>
    <row r="1495" spans="7:16" x14ac:dyDescent="0.25">
      <c r="G1495" s="17"/>
      <c r="H1495" s="12"/>
      <c r="I1495" s="12"/>
      <c r="J1495" s="12"/>
      <c r="K1495" s="12"/>
      <c r="L1495" s="12"/>
      <c r="M1495" s="11"/>
      <c r="N1495" s="11"/>
      <c r="O1495" s="11"/>
      <c r="P1495" s="11"/>
    </row>
    <row r="1496" spans="7:16" x14ac:dyDescent="0.25">
      <c r="G1496" s="17"/>
      <c r="H1496" s="12"/>
      <c r="I1496" s="12"/>
      <c r="J1496" s="12"/>
      <c r="K1496" s="12"/>
      <c r="L1496" s="12"/>
      <c r="M1496" s="11"/>
      <c r="N1496" s="11"/>
      <c r="O1496" s="11"/>
      <c r="P1496" s="11"/>
    </row>
    <row r="1497" spans="7:16" x14ac:dyDescent="0.25">
      <c r="G1497" s="17"/>
      <c r="H1497" s="12"/>
      <c r="I1497" s="12"/>
      <c r="J1497" s="12"/>
      <c r="K1497" s="12"/>
      <c r="L1497" s="12"/>
      <c r="M1497" s="11"/>
      <c r="N1497" s="11"/>
      <c r="O1497" s="11"/>
      <c r="P1497" s="11"/>
    </row>
    <row r="1498" spans="7:16" x14ac:dyDescent="0.25">
      <c r="G1498" s="17"/>
      <c r="H1498" s="12"/>
      <c r="I1498" s="12"/>
      <c r="J1498" s="12"/>
      <c r="K1498" s="12"/>
      <c r="L1498" s="12"/>
      <c r="M1498" s="11"/>
      <c r="N1498" s="11"/>
      <c r="O1498" s="11"/>
      <c r="P1498" s="11"/>
    </row>
    <row r="1499" spans="7:16" x14ac:dyDescent="0.25">
      <c r="G1499" s="17"/>
      <c r="H1499" s="12"/>
      <c r="I1499" s="12"/>
      <c r="J1499" s="12"/>
      <c r="K1499" s="12"/>
      <c r="L1499" s="12"/>
      <c r="M1499" s="11"/>
      <c r="N1499" s="11"/>
      <c r="O1499" s="11"/>
      <c r="P1499" s="11"/>
    </row>
    <row r="1500" spans="7:16" x14ac:dyDescent="0.25">
      <c r="G1500" s="17"/>
      <c r="H1500" s="12"/>
      <c r="I1500" s="12"/>
      <c r="J1500" s="12"/>
      <c r="K1500" s="12"/>
      <c r="L1500" s="12"/>
      <c r="M1500" s="11"/>
      <c r="N1500" s="11"/>
      <c r="O1500" s="11"/>
      <c r="P1500" s="11"/>
    </row>
    <row r="1501" spans="7:16" x14ac:dyDescent="0.25">
      <c r="G1501" s="17"/>
      <c r="H1501" s="12"/>
      <c r="I1501" s="12"/>
      <c r="J1501" s="12"/>
      <c r="K1501" s="12"/>
      <c r="L1501" s="12"/>
      <c r="M1501" s="11"/>
      <c r="N1501" s="11"/>
      <c r="O1501" s="11"/>
      <c r="P1501" s="11"/>
    </row>
    <row r="1502" spans="7:16" x14ac:dyDescent="0.25">
      <c r="G1502" s="17"/>
      <c r="H1502" s="12"/>
      <c r="I1502" s="12"/>
      <c r="J1502" s="12"/>
      <c r="K1502" s="12"/>
      <c r="L1502" s="12"/>
      <c r="M1502" s="11"/>
      <c r="N1502" s="11"/>
      <c r="O1502" s="11"/>
      <c r="P1502" s="11"/>
    </row>
    <row r="1503" spans="7:16" x14ac:dyDescent="0.25">
      <c r="G1503" s="17"/>
      <c r="H1503" s="12"/>
      <c r="I1503" s="12"/>
      <c r="J1503" s="12"/>
      <c r="K1503" s="12"/>
      <c r="L1503" s="12"/>
      <c r="M1503" s="11"/>
      <c r="N1503" s="11"/>
      <c r="O1503" s="11"/>
      <c r="P1503" s="11"/>
    </row>
    <row r="1504" spans="7:16" x14ac:dyDescent="0.25">
      <c r="G1504" s="17"/>
      <c r="H1504" s="12"/>
      <c r="I1504" s="12"/>
      <c r="J1504" s="12"/>
      <c r="K1504" s="12"/>
      <c r="L1504" s="12"/>
      <c r="M1504" s="11"/>
      <c r="N1504" s="11"/>
      <c r="O1504" s="11"/>
      <c r="P1504" s="11"/>
    </row>
    <row r="1505" spans="7:16" x14ac:dyDescent="0.25">
      <c r="G1505" s="17"/>
      <c r="H1505" s="12"/>
      <c r="I1505" s="12"/>
      <c r="J1505" s="12"/>
      <c r="K1505" s="12"/>
      <c r="L1505" s="12"/>
      <c r="M1505" s="11"/>
      <c r="N1505" s="11"/>
      <c r="O1505" s="11"/>
      <c r="P1505" s="11"/>
    </row>
    <row r="1506" spans="7:16" x14ac:dyDescent="0.25">
      <c r="G1506" s="17"/>
      <c r="H1506" s="12"/>
      <c r="I1506" s="12"/>
      <c r="J1506" s="12"/>
      <c r="K1506" s="12"/>
      <c r="L1506" s="12"/>
      <c r="M1506" s="11"/>
      <c r="N1506" s="11"/>
      <c r="O1506" s="11"/>
      <c r="P1506" s="11"/>
    </row>
    <row r="1507" spans="7:16" x14ac:dyDescent="0.25">
      <c r="G1507" s="17"/>
      <c r="H1507" s="12"/>
      <c r="I1507" s="12"/>
      <c r="J1507" s="12"/>
      <c r="K1507" s="12"/>
      <c r="L1507" s="12"/>
      <c r="M1507" s="11"/>
      <c r="N1507" s="11"/>
      <c r="O1507" s="11"/>
      <c r="P1507" s="11"/>
    </row>
    <row r="1508" spans="7:16" x14ac:dyDescent="0.25">
      <c r="G1508" s="17"/>
      <c r="H1508" s="12"/>
      <c r="I1508" s="12"/>
      <c r="J1508" s="12"/>
      <c r="K1508" s="12"/>
      <c r="L1508" s="12"/>
      <c r="M1508" s="11"/>
      <c r="N1508" s="11"/>
      <c r="O1508" s="11"/>
      <c r="P1508" s="11"/>
    </row>
    <row r="1509" spans="7:16" x14ac:dyDescent="0.25">
      <c r="G1509" s="17"/>
      <c r="H1509" s="12"/>
      <c r="I1509" s="12"/>
      <c r="J1509" s="12"/>
      <c r="K1509" s="12"/>
      <c r="L1509" s="12"/>
      <c r="M1509" s="11"/>
      <c r="N1509" s="11"/>
      <c r="O1509" s="11"/>
      <c r="P1509" s="11"/>
    </row>
    <row r="1510" spans="7:16" x14ac:dyDescent="0.25">
      <c r="G1510" s="17"/>
      <c r="H1510" s="12"/>
      <c r="I1510" s="12"/>
      <c r="J1510" s="12"/>
      <c r="K1510" s="12"/>
      <c r="L1510" s="12"/>
      <c r="M1510" s="11"/>
      <c r="N1510" s="11"/>
      <c r="O1510" s="11"/>
      <c r="P1510" s="11"/>
    </row>
    <row r="1511" spans="7:16" x14ac:dyDescent="0.25">
      <c r="G1511" s="17"/>
      <c r="H1511" s="12"/>
      <c r="I1511" s="12"/>
      <c r="J1511" s="12"/>
      <c r="K1511" s="12"/>
      <c r="L1511" s="12"/>
      <c r="M1511" s="11"/>
      <c r="N1511" s="11"/>
      <c r="O1511" s="11"/>
      <c r="P1511" s="11"/>
    </row>
    <row r="1512" spans="7:16" x14ac:dyDescent="0.25">
      <c r="G1512" s="17"/>
      <c r="H1512" s="12"/>
      <c r="I1512" s="12"/>
      <c r="J1512" s="12"/>
      <c r="K1512" s="12"/>
      <c r="L1512" s="12"/>
      <c r="M1512" s="11"/>
      <c r="N1512" s="11"/>
      <c r="O1512" s="11"/>
      <c r="P1512" s="11"/>
    </row>
    <row r="1513" spans="7:16" x14ac:dyDescent="0.25">
      <c r="G1513" s="17"/>
      <c r="H1513" s="12"/>
      <c r="I1513" s="12"/>
      <c r="J1513" s="12"/>
      <c r="K1513" s="12"/>
      <c r="L1513" s="12"/>
      <c r="M1513" s="11"/>
      <c r="N1513" s="11"/>
      <c r="O1513" s="11"/>
      <c r="P1513" s="11"/>
    </row>
    <row r="1514" spans="7:16" x14ac:dyDescent="0.25">
      <c r="G1514" s="17"/>
      <c r="H1514" s="12"/>
      <c r="I1514" s="12"/>
      <c r="J1514" s="12"/>
      <c r="K1514" s="12"/>
      <c r="L1514" s="12"/>
      <c r="M1514" s="11"/>
      <c r="N1514" s="11"/>
      <c r="O1514" s="11"/>
      <c r="P1514" s="11"/>
    </row>
    <row r="1515" spans="7:16" x14ac:dyDescent="0.25">
      <c r="G1515" s="17"/>
      <c r="H1515" s="12"/>
      <c r="I1515" s="12"/>
      <c r="J1515" s="12"/>
      <c r="K1515" s="12"/>
      <c r="L1515" s="12"/>
      <c r="M1515" s="11"/>
      <c r="N1515" s="11"/>
      <c r="O1515" s="11"/>
      <c r="P1515" s="11"/>
    </row>
    <row r="1516" spans="7:16" x14ac:dyDescent="0.25">
      <c r="G1516" s="17"/>
      <c r="H1516" s="12"/>
      <c r="I1516" s="12"/>
      <c r="J1516" s="12"/>
      <c r="K1516" s="12"/>
      <c r="L1516" s="12"/>
      <c r="M1516" s="11"/>
      <c r="N1516" s="11"/>
      <c r="O1516" s="11"/>
      <c r="P1516" s="11"/>
    </row>
    <row r="1517" spans="7:16" x14ac:dyDescent="0.25">
      <c r="G1517" s="17"/>
      <c r="H1517" s="12"/>
      <c r="I1517" s="12"/>
      <c r="J1517" s="12"/>
      <c r="K1517" s="12"/>
      <c r="L1517" s="12"/>
      <c r="M1517" s="11"/>
      <c r="N1517" s="11"/>
      <c r="O1517" s="11"/>
      <c r="P1517" s="11"/>
    </row>
    <row r="1518" spans="7:16" x14ac:dyDescent="0.25">
      <c r="G1518" s="17"/>
      <c r="H1518" s="12"/>
      <c r="I1518" s="12"/>
      <c r="J1518" s="12"/>
      <c r="K1518" s="12"/>
      <c r="L1518" s="12"/>
      <c r="M1518" s="11"/>
      <c r="N1518" s="11"/>
      <c r="O1518" s="11"/>
      <c r="P1518" s="11"/>
    </row>
    <row r="1519" spans="7:16" x14ac:dyDescent="0.25">
      <c r="G1519" s="17"/>
      <c r="H1519" s="12"/>
      <c r="I1519" s="12"/>
      <c r="J1519" s="12"/>
      <c r="K1519" s="12"/>
      <c r="L1519" s="12"/>
      <c r="M1519" s="11"/>
      <c r="N1519" s="11"/>
      <c r="O1519" s="11"/>
      <c r="P1519" s="11"/>
    </row>
    <row r="1520" spans="7:16" x14ac:dyDescent="0.25">
      <c r="G1520" s="17"/>
      <c r="H1520" s="12"/>
      <c r="I1520" s="12"/>
      <c r="J1520" s="12"/>
      <c r="K1520" s="12"/>
      <c r="L1520" s="12"/>
      <c r="M1520" s="11"/>
      <c r="N1520" s="11"/>
      <c r="O1520" s="11"/>
      <c r="P1520" s="11"/>
    </row>
    <row r="1521" spans="7:16" x14ac:dyDescent="0.25">
      <c r="G1521" s="17"/>
      <c r="H1521" s="12"/>
      <c r="I1521" s="12"/>
      <c r="J1521" s="12"/>
      <c r="K1521" s="12"/>
      <c r="L1521" s="12"/>
      <c r="M1521" s="11"/>
      <c r="N1521" s="11"/>
      <c r="O1521" s="11"/>
      <c r="P1521" s="11"/>
    </row>
    <row r="1522" spans="7:16" x14ac:dyDescent="0.25">
      <c r="G1522" s="17"/>
      <c r="H1522" s="12"/>
      <c r="I1522" s="12"/>
      <c r="J1522" s="12"/>
      <c r="K1522" s="12"/>
      <c r="L1522" s="12"/>
      <c r="M1522" s="11"/>
      <c r="N1522" s="11"/>
      <c r="O1522" s="11"/>
      <c r="P1522" s="11"/>
    </row>
    <row r="1523" spans="7:16" x14ac:dyDescent="0.25">
      <c r="G1523" s="17"/>
      <c r="H1523" s="12"/>
      <c r="I1523" s="12"/>
      <c r="J1523" s="12"/>
      <c r="K1523" s="12"/>
      <c r="L1523" s="12"/>
      <c r="M1523" s="11"/>
      <c r="N1523" s="11"/>
      <c r="O1523" s="11"/>
      <c r="P1523" s="11"/>
    </row>
    <row r="1524" spans="7:16" x14ac:dyDescent="0.25">
      <c r="G1524" s="17"/>
      <c r="H1524" s="12"/>
      <c r="I1524" s="12"/>
      <c r="J1524" s="12"/>
      <c r="K1524" s="12"/>
      <c r="L1524" s="12"/>
      <c r="M1524" s="11"/>
      <c r="N1524" s="11"/>
      <c r="O1524" s="11"/>
      <c r="P1524" s="11"/>
    </row>
    <row r="1525" spans="7:16" x14ac:dyDescent="0.25">
      <c r="G1525" s="17"/>
      <c r="H1525" s="12"/>
      <c r="I1525" s="12"/>
      <c r="J1525" s="12"/>
      <c r="K1525" s="12"/>
      <c r="L1525" s="12"/>
      <c r="M1525" s="11"/>
      <c r="N1525" s="11"/>
      <c r="O1525" s="11"/>
      <c r="P1525" s="11"/>
    </row>
    <row r="1526" spans="7:16" x14ac:dyDescent="0.25">
      <c r="G1526" s="17"/>
      <c r="H1526" s="12"/>
      <c r="I1526" s="12"/>
      <c r="J1526" s="12"/>
      <c r="K1526" s="12"/>
      <c r="L1526" s="12"/>
      <c r="M1526" s="11"/>
      <c r="N1526" s="11"/>
      <c r="O1526" s="11"/>
      <c r="P1526" s="11"/>
    </row>
    <row r="1527" spans="7:16" x14ac:dyDescent="0.25">
      <c r="G1527" s="17"/>
      <c r="H1527" s="12"/>
      <c r="I1527" s="12"/>
      <c r="J1527" s="12"/>
      <c r="K1527" s="12"/>
      <c r="L1527" s="12"/>
      <c r="M1527" s="11"/>
      <c r="N1527" s="11"/>
      <c r="O1527" s="11"/>
      <c r="P1527" s="11"/>
    </row>
    <row r="1528" spans="7:16" x14ac:dyDescent="0.25">
      <c r="G1528" s="17"/>
      <c r="H1528" s="12"/>
      <c r="I1528" s="12"/>
      <c r="J1528" s="12"/>
      <c r="K1528" s="12"/>
      <c r="L1528" s="12"/>
      <c r="M1528" s="11"/>
      <c r="N1528" s="11"/>
      <c r="O1528" s="11"/>
      <c r="P1528" s="11"/>
    </row>
    <row r="1529" spans="7:16" x14ac:dyDescent="0.25">
      <c r="G1529" s="17"/>
      <c r="H1529" s="12"/>
      <c r="I1529" s="12"/>
      <c r="J1529" s="12"/>
      <c r="K1529" s="12"/>
      <c r="L1529" s="12"/>
      <c r="M1529" s="11"/>
      <c r="N1529" s="11"/>
      <c r="O1529" s="11"/>
      <c r="P1529" s="11"/>
    </row>
    <row r="1530" spans="7:16" x14ac:dyDescent="0.25">
      <c r="G1530" s="17"/>
      <c r="H1530" s="12"/>
      <c r="I1530" s="12"/>
      <c r="J1530" s="12"/>
      <c r="K1530" s="12"/>
      <c r="L1530" s="12"/>
      <c r="M1530" s="11"/>
      <c r="N1530" s="11"/>
      <c r="O1530" s="11"/>
      <c r="P1530" s="11"/>
    </row>
    <row r="1531" spans="7:16" x14ac:dyDescent="0.25">
      <c r="G1531" s="17"/>
      <c r="H1531" s="12"/>
      <c r="I1531" s="12"/>
      <c r="J1531" s="12"/>
      <c r="K1531" s="12"/>
      <c r="L1531" s="12"/>
      <c r="M1531" s="11"/>
      <c r="N1531" s="11"/>
      <c r="O1531" s="11"/>
      <c r="P1531" s="11"/>
    </row>
    <row r="1532" spans="7:16" x14ac:dyDescent="0.25">
      <c r="G1532" s="17"/>
      <c r="H1532" s="12"/>
      <c r="I1532" s="12"/>
      <c r="J1532" s="12"/>
      <c r="K1532" s="12"/>
      <c r="L1532" s="12"/>
      <c r="M1532" s="11"/>
      <c r="N1532" s="11"/>
      <c r="O1532" s="11"/>
      <c r="P1532" s="11"/>
    </row>
    <row r="1533" spans="7:16" x14ac:dyDescent="0.25">
      <c r="G1533" s="17"/>
      <c r="H1533" s="12"/>
      <c r="I1533" s="12"/>
      <c r="J1533" s="12"/>
      <c r="K1533" s="12"/>
      <c r="L1533" s="12"/>
      <c r="M1533" s="11"/>
      <c r="N1533" s="11"/>
      <c r="O1533" s="11"/>
      <c r="P1533" s="11"/>
    </row>
    <row r="1534" spans="7:16" x14ac:dyDescent="0.25">
      <c r="G1534" s="17"/>
      <c r="H1534" s="12"/>
      <c r="I1534" s="12"/>
      <c r="J1534" s="12"/>
      <c r="K1534" s="12"/>
      <c r="L1534" s="12"/>
      <c r="M1534" s="11"/>
      <c r="N1534" s="11"/>
      <c r="O1534" s="11"/>
      <c r="P1534" s="11"/>
    </row>
    <row r="1535" spans="7:16" x14ac:dyDescent="0.25">
      <c r="G1535" s="17"/>
      <c r="H1535" s="12"/>
      <c r="I1535" s="12"/>
      <c r="J1535" s="12"/>
      <c r="K1535" s="12"/>
      <c r="L1535" s="12"/>
      <c r="M1535" s="11"/>
      <c r="N1535" s="11"/>
      <c r="O1535" s="11"/>
      <c r="P1535" s="11"/>
    </row>
    <row r="1536" spans="7:16" x14ac:dyDescent="0.25">
      <c r="G1536" s="17"/>
      <c r="H1536" s="12"/>
      <c r="I1536" s="12"/>
      <c r="J1536" s="12"/>
      <c r="K1536" s="12"/>
      <c r="L1536" s="12"/>
      <c r="M1536" s="11"/>
      <c r="N1536" s="11"/>
      <c r="O1536" s="11"/>
      <c r="P1536" s="11"/>
    </row>
    <row r="1537" spans="7:16" x14ac:dyDescent="0.25">
      <c r="G1537" s="17"/>
      <c r="H1537" s="12"/>
      <c r="I1537" s="12"/>
      <c r="J1537" s="12"/>
      <c r="K1537" s="12"/>
      <c r="L1537" s="12"/>
      <c r="M1537" s="11"/>
      <c r="N1537" s="11"/>
      <c r="O1537" s="11"/>
      <c r="P1537" s="11"/>
    </row>
    <row r="1538" spans="7:16" x14ac:dyDescent="0.25">
      <c r="G1538" s="17"/>
      <c r="H1538" s="12"/>
      <c r="I1538" s="12"/>
      <c r="J1538" s="12"/>
      <c r="K1538" s="12"/>
      <c r="L1538" s="12"/>
      <c r="M1538" s="11"/>
      <c r="N1538" s="11"/>
      <c r="O1538" s="11"/>
      <c r="P1538" s="11"/>
    </row>
    <row r="1539" spans="7:16" x14ac:dyDescent="0.25">
      <c r="G1539" s="17"/>
      <c r="H1539" s="12"/>
      <c r="I1539" s="12"/>
      <c r="J1539" s="12"/>
      <c r="K1539" s="12"/>
      <c r="L1539" s="12"/>
      <c r="M1539" s="11"/>
      <c r="N1539" s="11"/>
      <c r="O1539" s="11"/>
      <c r="P1539" s="11"/>
    </row>
    <row r="1540" spans="7:16" x14ac:dyDescent="0.25">
      <c r="G1540" s="17"/>
      <c r="H1540" s="12"/>
      <c r="I1540" s="12"/>
      <c r="J1540" s="12"/>
      <c r="K1540" s="12"/>
      <c r="L1540" s="12"/>
      <c r="M1540" s="11"/>
      <c r="N1540" s="11"/>
      <c r="O1540" s="11"/>
      <c r="P1540" s="11"/>
    </row>
    <row r="1541" spans="7:16" x14ac:dyDescent="0.25">
      <c r="G1541" s="17"/>
      <c r="H1541" s="12"/>
      <c r="I1541" s="12"/>
      <c r="J1541" s="12"/>
      <c r="K1541" s="12"/>
      <c r="L1541" s="12"/>
      <c r="M1541" s="11"/>
      <c r="N1541" s="11"/>
      <c r="O1541" s="11"/>
      <c r="P1541" s="11"/>
    </row>
    <row r="1542" spans="7:16" x14ac:dyDescent="0.25">
      <c r="G1542" s="17"/>
      <c r="H1542" s="12"/>
      <c r="I1542" s="12"/>
      <c r="J1542" s="12"/>
      <c r="K1542" s="12"/>
      <c r="L1542" s="12"/>
      <c r="M1542" s="11"/>
      <c r="N1542" s="11"/>
      <c r="O1542" s="11"/>
      <c r="P1542" s="11"/>
    </row>
    <row r="1543" spans="7:16" x14ac:dyDescent="0.25">
      <c r="G1543" s="17"/>
      <c r="H1543" s="12"/>
      <c r="I1543" s="12"/>
      <c r="J1543" s="12"/>
      <c r="K1543" s="12"/>
      <c r="L1543" s="12"/>
      <c r="M1543" s="11"/>
      <c r="N1543" s="11"/>
      <c r="O1543" s="11"/>
      <c r="P1543" s="11"/>
    </row>
    <row r="1544" spans="7:16" x14ac:dyDescent="0.25">
      <c r="G1544" s="17"/>
      <c r="H1544" s="12"/>
      <c r="I1544" s="12"/>
      <c r="J1544" s="12"/>
      <c r="K1544" s="12"/>
      <c r="L1544" s="12"/>
      <c r="M1544" s="11"/>
      <c r="N1544" s="11"/>
      <c r="O1544" s="11"/>
      <c r="P1544" s="11"/>
    </row>
    <row r="1545" spans="7:16" x14ac:dyDescent="0.25">
      <c r="G1545" s="17"/>
      <c r="H1545" s="12"/>
      <c r="I1545" s="12"/>
      <c r="J1545" s="12"/>
      <c r="K1545" s="12"/>
      <c r="L1545" s="12"/>
      <c r="M1545" s="11"/>
      <c r="N1545" s="11"/>
      <c r="O1545" s="11"/>
      <c r="P1545" s="11"/>
    </row>
    <row r="1546" spans="7:16" x14ac:dyDescent="0.25">
      <c r="G1546" s="17"/>
      <c r="H1546" s="12"/>
      <c r="I1546" s="12"/>
      <c r="J1546" s="12"/>
      <c r="K1546" s="12"/>
      <c r="L1546" s="12"/>
      <c r="M1546" s="11"/>
      <c r="N1546" s="11"/>
      <c r="O1546" s="11"/>
      <c r="P1546" s="11"/>
    </row>
    <row r="1547" spans="7:16" x14ac:dyDescent="0.25">
      <c r="G1547" s="17"/>
      <c r="H1547" s="12"/>
      <c r="I1547" s="12"/>
      <c r="J1547" s="12"/>
      <c r="K1547" s="12"/>
      <c r="L1547" s="12"/>
      <c r="M1547" s="11"/>
      <c r="N1547" s="11"/>
      <c r="O1547" s="11"/>
      <c r="P1547" s="11"/>
    </row>
    <row r="1548" spans="7:16" x14ac:dyDescent="0.25">
      <c r="G1548" s="17"/>
      <c r="H1548" s="12"/>
      <c r="I1548" s="12"/>
      <c r="J1548" s="12"/>
      <c r="K1548" s="12"/>
      <c r="L1548" s="12"/>
      <c r="M1548" s="11"/>
      <c r="N1548" s="11"/>
      <c r="O1548" s="11"/>
      <c r="P1548" s="11"/>
    </row>
    <row r="1549" spans="7:16" x14ac:dyDescent="0.25">
      <c r="G1549" s="17"/>
      <c r="H1549" s="12"/>
      <c r="I1549" s="12"/>
      <c r="J1549" s="12"/>
      <c r="K1549" s="12"/>
      <c r="L1549" s="12"/>
      <c r="M1549" s="11"/>
      <c r="N1549" s="11"/>
      <c r="O1549" s="11"/>
      <c r="P1549" s="11"/>
    </row>
    <row r="1550" spans="7:16" x14ac:dyDescent="0.25">
      <c r="G1550" s="17"/>
      <c r="H1550" s="12"/>
      <c r="I1550" s="12"/>
      <c r="J1550" s="12"/>
      <c r="K1550" s="12"/>
      <c r="L1550" s="12"/>
      <c r="M1550" s="11"/>
      <c r="N1550" s="11"/>
      <c r="O1550" s="11"/>
      <c r="P1550" s="11"/>
    </row>
    <row r="1551" spans="7:16" x14ac:dyDescent="0.25">
      <c r="G1551" s="17"/>
      <c r="H1551" s="12"/>
      <c r="I1551" s="12"/>
      <c r="J1551" s="12"/>
      <c r="K1551" s="12"/>
      <c r="L1551" s="12"/>
      <c r="M1551" s="11"/>
      <c r="N1551" s="11"/>
      <c r="O1551" s="11"/>
      <c r="P1551" s="11"/>
    </row>
    <row r="1552" spans="7:16" x14ac:dyDescent="0.25">
      <c r="G1552" s="17"/>
      <c r="H1552" s="12"/>
      <c r="I1552" s="12"/>
      <c r="J1552" s="12"/>
      <c r="K1552" s="12"/>
      <c r="L1552" s="12"/>
      <c r="M1552" s="11"/>
      <c r="N1552" s="11"/>
      <c r="O1552" s="11"/>
      <c r="P1552" s="11"/>
    </row>
    <row r="1553" spans="7:16" x14ac:dyDescent="0.25">
      <c r="G1553" s="17"/>
      <c r="H1553" s="12"/>
      <c r="I1553" s="12"/>
      <c r="J1553" s="12"/>
      <c r="K1553" s="12"/>
      <c r="L1553" s="12"/>
      <c r="M1553" s="11"/>
      <c r="N1553" s="11"/>
      <c r="O1553" s="11"/>
      <c r="P1553" s="11"/>
    </row>
    <row r="1554" spans="7:16" x14ac:dyDescent="0.25">
      <c r="G1554" s="17"/>
      <c r="H1554" s="12"/>
      <c r="I1554" s="12"/>
      <c r="J1554" s="12"/>
      <c r="K1554" s="12"/>
      <c r="L1554" s="12"/>
      <c r="M1554" s="11"/>
      <c r="N1554" s="11"/>
      <c r="O1554" s="11"/>
      <c r="P1554" s="11"/>
    </row>
    <row r="1555" spans="7:16" x14ac:dyDescent="0.25">
      <c r="G1555" s="17"/>
      <c r="H1555" s="12"/>
      <c r="I1555" s="12"/>
      <c r="J1555" s="12"/>
      <c r="K1555" s="12"/>
      <c r="L1555" s="12"/>
      <c r="M1555" s="11"/>
      <c r="N1555" s="11"/>
      <c r="O1555" s="11"/>
      <c r="P1555" s="11"/>
    </row>
    <row r="1556" spans="7:16" x14ac:dyDescent="0.25">
      <c r="G1556" s="17"/>
      <c r="H1556" s="12"/>
      <c r="I1556" s="12"/>
      <c r="J1556" s="12"/>
      <c r="K1556" s="12"/>
      <c r="L1556" s="12"/>
      <c r="M1556" s="11"/>
      <c r="N1556" s="11"/>
      <c r="O1556" s="11"/>
      <c r="P1556" s="11"/>
    </row>
    <row r="1557" spans="7:16" x14ac:dyDescent="0.25">
      <c r="G1557" s="17"/>
      <c r="H1557" s="12"/>
      <c r="I1557" s="12"/>
      <c r="J1557" s="12"/>
      <c r="K1557" s="12"/>
      <c r="L1557" s="12"/>
      <c r="M1557" s="11"/>
      <c r="N1557" s="11"/>
      <c r="O1557" s="11"/>
      <c r="P1557" s="11"/>
    </row>
    <row r="1558" spans="7:16" x14ac:dyDescent="0.25">
      <c r="G1558" s="17"/>
      <c r="H1558" s="12"/>
      <c r="I1558" s="12"/>
      <c r="J1558" s="12"/>
      <c r="K1558" s="12"/>
      <c r="L1558" s="12"/>
      <c r="M1558" s="11"/>
      <c r="N1558" s="11"/>
      <c r="O1558" s="11"/>
      <c r="P1558" s="11"/>
    </row>
    <row r="1559" spans="7:16" x14ac:dyDescent="0.25">
      <c r="G1559" s="17"/>
      <c r="H1559" s="12"/>
      <c r="I1559" s="12"/>
      <c r="J1559" s="12"/>
      <c r="K1559" s="12"/>
      <c r="L1559" s="12"/>
      <c r="M1559" s="11"/>
      <c r="N1559" s="11"/>
      <c r="O1559" s="11"/>
      <c r="P1559" s="11"/>
    </row>
    <row r="1560" spans="7:16" x14ac:dyDescent="0.25">
      <c r="G1560" s="17"/>
      <c r="H1560" s="12"/>
      <c r="I1560" s="12"/>
      <c r="J1560" s="12"/>
      <c r="K1560" s="12"/>
      <c r="L1560" s="12"/>
      <c r="M1560" s="11"/>
      <c r="N1560" s="11"/>
      <c r="O1560" s="11"/>
      <c r="P1560" s="11"/>
    </row>
    <row r="1561" spans="7:16" x14ac:dyDescent="0.25">
      <c r="G1561" s="17"/>
      <c r="H1561" s="12"/>
      <c r="I1561" s="12"/>
      <c r="J1561" s="12"/>
      <c r="K1561" s="12"/>
      <c r="L1561" s="12"/>
      <c r="M1561" s="11"/>
      <c r="N1561" s="11"/>
      <c r="O1561" s="11"/>
      <c r="P1561" s="11"/>
    </row>
    <row r="1562" spans="7:16" x14ac:dyDescent="0.25">
      <c r="G1562" s="17"/>
      <c r="H1562" s="12"/>
      <c r="I1562" s="12"/>
      <c r="J1562" s="12"/>
      <c r="K1562" s="12"/>
      <c r="L1562" s="12"/>
      <c r="M1562" s="11"/>
      <c r="N1562" s="11"/>
      <c r="O1562" s="11"/>
      <c r="P1562" s="11"/>
    </row>
    <row r="1563" spans="7:16" x14ac:dyDescent="0.25">
      <c r="G1563" s="17"/>
      <c r="H1563" s="12"/>
      <c r="I1563" s="12"/>
      <c r="J1563" s="12"/>
      <c r="K1563" s="12"/>
      <c r="L1563" s="12"/>
      <c r="M1563" s="11"/>
      <c r="N1563" s="11"/>
      <c r="O1563" s="11"/>
      <c r="P1563" s="11"/>
    </row>
    <row r="1564" spans="7:16" x14ac:dyDescent="0.25">
      <c r="G1564" s="17"/>
      <c r="H1564" s="12"/>
      <c r="I1564" s="12"/>
      <c r="J1564" s="12"/>
      <c r="K1564" s="12"/>
      <c r="L1564" s="12"/>
      <c r="M1564" s="11"/>
      <c r="N1564" s="11"/>
      <c r="O1564" s="11"/>
      <c r="P1564" s="11"/>
    </row>
    <row r="1565" spans="7:16" x14ac:dyDescent="0.25">
      <c r="G1565" s="17"/>
      <c r="H1565" s="12"/>
      <c r="I1565" s="12"/>
      <c r="J1565" s="12"/>
      <c r="K1565" s="12"/>
      <c r="L1565" s="12"/>
      <c r="M1565" s="11"/>
      <c r="N1565" s="11"/>
      <c r="O1565" s="11"/>
      <c r="P1565" s="11"/>
    </row>
    <row r="1566" spans="7:16" x14ac:dyDescent="0.25">
      <c r="G1566" s="17"/>
      <c r="H1566" s="12"/>
      <c r="I1566" s="12"/>
      <c r="J1566" s="12"/>
      <c r="K1566" s="12"/>
      <c r="L1566" s="12"/>
      <c r="M1566" s="11"/>
      <c r="N1566" s="11"/>
      <c r="O1566" s="11"/>
      <c r="P1566" s="11"/>
    </row>
    <row r="1567" spans="7:16" x14ac:dyDescent="0.25">
      <c r="G1567" s="17"/>
      <c r="H1567" s="12"/>
      <c r="I1567" s="12"/>
      <c r="J1567" s="12"/>
      <c r="K1567" s="12"/>
      <c r="L1567" s="12"/>
      <c r="M1567" s="11"/>
      <c r="N1567" s="11"/>
      <c r="O1567" s="11"/>
      <c r="P1567" s="11"/>
    </row>
    <row r="1568" spans="7:16" x14ac:dyDescent="0.25">
      <c r="G1568" s="17"/>
      <c r="H1568" s="12"/>
      <c r="I1568" s="12"/>
      <c r="J1568" s="12"/>
      <c r="K1568" s="12"/>
      <c r="L1568" s="12"/>
      <c r="M1568" s="11"/>
      <c r="N1568" s="11"/>
      <c r="O1568" s="11"/>
      <c r="P1568" s="11"/>
    </row>
    <row r="1569" spans="7:16" x14ac:dyDescent="0.25">
      <c r="G1569" s="17"/>
      <c r="H1569" s="12"/>
      <c r="I1569" s="12"/>
      <c r="J1569" s="12"/>
      <c r="K1569" s="12"/>
      <c r="L1569" s="12"/>
      <c r="M1569" s="11"/>
      <c r="N1569" s="11"/>
      <c r="O1569" s="11"/>
      <c r="P1569" s="11"/>
    </row>
    <row r="1570" spans="7:16" x14ac:dyDescent="0.25">
      <c r="G1570" s="17"/>
      <c r="H1570" s="12"/>
      <c r="I1570" s="12"/>
      <c r="J1570" s="12"/>
      <c r="K1570" s="12"/>
      <c r="L1570" s="12"/>
      <c r="M1570" s="11"/>
      <c r="N1570" s="11"/>
      <c r="O1570" s="11"/>
      <c r="P1570" s="11"/>
    </row>
    <row r="1571" spans="7:16" x14ac:dyDescent="0.25">
      <c r="G1571" s="17"/>
      <c r="H1571" s="12"/>
      <c r="I1571" s="12"/>
      <c r="J1571" s="12"/>
      <c r="K1571" s="12"/>
      <c r="L1571" s="12"/>
      <c r="M1571" s="11"/>
      <c r="N1571" s="11"/>
      <c r="O1571" s="11"/>
      <c r="P1571" s="11"/>
    </row>
    <row r="1572" spans="7:16" x14ac:dyDescent="0.25">
      <c r="G1572" s="17"/>
      <c r="H1572" s="12"/>
      <c r="I1572" s="12"/>
      <c r="J1572" s="12"/>
      <c r="K1572" s="12"/>
      <c r="L1572" s="12"/>
      <c r="M1572" s="11"/>
      <c r="N1572" s="11"/>
      <c r="O1572" s="11"/>
      <c r="P1572" s="11"/>
    </row>
    <row r="1573" spans="7:16" x14ac:dyDescent="0.25">
      <c r="G1573" s="17"/>
      <c r="H1573" s="12"/>
      <c r="I1573" s="12"/>
      <c r="J1573" s="12"/>
      <c r="K1573" s="12"/>
      <c r="L1573" s="12"/>
      <c r="M1573" s="11"/>
      <c r="N1573" s="11"/>
      <c r="O1573" s="11"/>
      <c r="P1573" s="11"/>
    </row>
    <row r="1574" spans="7:16" x14ac:dyDescent="0.25">
      <c r="G1574" s="17"/>
      <c r="H1574" s="12"/>
      <c r="I1574" s="12"/>
      <c r="J1574" s="12"/>
      <c r="K1574" s="12"/>
      <c r="L1574" s="12"/>
      <c r="M1574" s="11"/>
      <c r="N1574" s="11"/>
      <c r="O1574" s="11"/>
      <c r="P1574" s="11"/>
    </row>
    <row r="1575" spans="7:16" x14ac:dyDescent="0.25">
      <c r="G1575" s="17"/>
      <c r="H1575" s="12"/>
      <c r="I1575" s="12"/>
      <c r="J1575" s="12"/>
      <c r="K1575" s="12"/>
      <c r="L1575" s="12"/>
      <c r="M1575" s="11"/>
      <c r="N1575" s="11"/>
      <c r="O1575" s="11"/>
      <c r="P1575" s="11"/>
    </row>
    <row r="1576" spans="7:16" x14ac:dyDescent="0.25">
      <c r="G1576" s="17"/>
      <c r="H1576" s="12"/>
      <c r="I1576" s="12"/>
      <c r="J1576" s="12"/>
      <c r="K1576" s="12"/>
      <c r="L1576" s="12"/>
      <c r="M1576" s="11"/>
      <c r="N1576" s="11"/>
      <c r="O1576" s="11"/>
      <c r="P1576" s="11"/>
    </row>
    <row r="1577" spans="7:16" x14ac:dyDescent="0.25">
      <c r="G1577" s="17"/>
      <c r="H1577" s="12"/>
      <c r="I1577" s="12"/>
      <c r="J1577" s="12"/>
      <c r="K1577" s="12"/>
      <c r="L1577" s="12"/>
      <c r="M1577" s="11"/>
      <c r="N1577" s="11"/>
      <c r="O1577" s="11"/>
      <c r="P1577" s="11"/>
    </row>
    <row r="1578" spans="7:16" x14ac:dyDescent="0.25">
      <c r="G1578" s="17"/>
      <c r="H1578" s="12"/>
      <c r="I1578" s="12"/>
      <c r="J1578" s="12"/>
      <c r="K1578" s="12"/>
      <c r="L1578" s="12"/>
      <c r="M1578" s="11"/>
      <c r="N1578" s="11"/>
      <c r="O1578" s="11"/>
      <c r="P1578" s="11"/>
    </row>
    <row r="1579" spans="7:16" x14ac:dyDescent="0.25">
      <c r="G1579" s="17"/>
      <c r="H1579" s="12"/>
      <c r="I1579" s="12"/>
      <c r="J1579" s="12"/>
      <c r="K1579" s="12"/>
      <c r="L1579" s="12"/>
      <c r="M1579" s="11"/>
      <c r="N1579" s="11"/>
      <c r="O1579" s="11"/>
      <c r="P1579" s="11"/>
    </row>
    <row r="1580" spans="7:16" x14ac:dyDescent="0.25">
      <c r="G1580" s="17"/>
      <c r="H1580" s="12"/>
      <c r="I1580" s="12"/>
      <c r="J1580" s="12"/>
      <c r="K1580" s="12"/>
      <c r="L1580" s="12"/>
      <c r="M1580" s="11"/>
      <c r="N1580" s="11"/>
      <c r="O1580" s="11"/>
      <c r="P1580" s="11"/>
    </row>
    <row r="1581" spans="7:16" x14ac:dyDescent="0.25">
      <c r="G1581" s="17"/>
      <c r="H1581" s="12"/>
      <c r="I1581" s="12"/>
      <c r="J1581" s="12"/>
      <c r="K1581" s="12"/>
      <c r="L1581" s="12"/>
      <c r="M1581" s="11"/>
      <c r="N1581" s="11"/>
      <c r="O1581" s="11"/>
      <c r="P1581" s="11"/>
    </row>
    <row r="1582" spans="7:16" x14ac:dyDescent="0.25">
      <c r="G1582" s="17"/>
      <c r="H1582" s="12"/>
      <c r="I1582" s="12"/>
      <c r="J1582" s="12"/>
      <c r="K1582" s="12"/>
      <c r="L1582" s="12"/>
      <c r="M1582" s="11"/>
      <c r="N1582" s="11"/>
      <c r="O1582" s="11"/>
      <c r="P1582" s="11"/>
    </row>
    <row r="1583" spans="7:16" x14ac:dyDescent="0.25">
      <c r="G1583" s="17"/>
      <c r="H1583" s="12"/>
      <c r="I1583" s="12"/>
      <c r="J1583" s="12"/>
      <c r="K1583" s="12"/>
      <c r="L1583" s="12"/>
      <c r="M1583" s="11"/>
      <c r="N1583" s="11"/>
      <c r="O1583" s="11"/>
      <c r="P1583" s="11"/>
    </row>
    <row r="1584" spans="7:16" x14ac:dyDescent="0.25">
      <c r="G1584" s="17"/>
      <c r="H1584" s="12"/>
      <c r="I1584" s="12"/>
      <c r="J1584" s="12"/>
      <c r="K1584" s="12"/>
      <c r="L1584" s="12"/>
      <c r="M1584" s="11"/>
      <c r="N1584" s="11"/>
      <c r="O1584" s="11"/>
      <c r="P1584" s="11"/>
    </row>
    <row r="1585" spans="7:16" x14ac:dyDescent="0.25">
      <c r="G1585" s="17"/>
      <c r="H1585" s="12"/>
      <c r="I1585" s="12"/>
      <c r="J1585" s="12"/>
      <c r="K1585" s="12"/>
      <c r="L1585" s="12"/>
      <c r="M1585" s="11"/>
      <c r="N1585" s="11"/>
      <c r="O1585" s="11"/>
      <c r="P1585" s="11"/>
    </row>
    <row r="1586" spans="7:16" x14ac:dyDescent="0.25">
      <c r="G1586" s="17"/>
      <c r="H1586" s="12"/>
      <c r="I1586" s="12"/>
      <c r="J1586" s="12"/>
      <c r="K1586" s="12"/>
      <c r="L1586" s="12"/>
      <c r="M1586" s="11"/>
      <c r="N1586" s="11"/>
      <c r="O1586" s="11"/>
      <c r="P1586" s="11"/>
    </row>
    <row r="1587" spans="7:16" x14ac:dyDescent="0.25">
      <c r="G1587" s="17"/>
      <c r="H1587" s="12"/>
      <c r="I1587" s="12"/>
      <c r="J1587" s="12"/>
      <c r="K1587" s="12"/>
      <c r="L1587" s="12"/>
      <c r="M1587" s="11"/>
      <c r="N1587" s="11"/>
      <c r="O1587" s="11"/>
      <c r="P1587" s="11"/>
    </row>
    <row r="1588" spans="7:16" x14ac:dyDescent="0.25">
      <c r="G1588" s="17"/>
      <c r="H1588" s="12"/>
      <c r="I1588" s="12"/>
      <c r="J1588" s="12"/>
      <c r="K1588" s="12"/>
      <c r="L1588" s="12"/>
      <c r="M1588" s="11"/>
      <c r="N1588" s="11"/>
      <c r="O1588" s="11"/>
      <c r="P1588" s="11"/>
    </row>
    <row r="1589" spans="7:16" x14ac:dyDescent="0.25">
      <c r="G1589" s="17"/>
      <c r="H1589" s="12"/>
      <c r="I1589" s="12"/>
      <c r="J1589" s="12"/>
      <c r="K1589" s="12"/>
      <c r="L1589" s="12"/>
      <c r="M1589" s="11"/>
      <c r="N1589" s="11"/>
      <c r="O1589" s="11"/>
      <c r="P1589" s="11"/>
    </row>
    <row r="1590" spans="7:16" x14ac:dyDescent="0.25">
      <c r="G1590" s="17"/>
      <c r="H1590" s="12"/>
      <c r="I1590" s="12"/>
      <c r="J1590" s="12"/>
      <c r="K1590" s="12"/>
      <c r="L1590" s="12"/>
      <c r="M1590" s="11"/>
      <c r="N1590" s="11"/>
      <c r="O1590" s="11"/>
      <c r="P1590" s="11"/>
    </row>
    <row r="1591" spans="7:16" x14ac:dyDescent="0.25">
      <c r="G1591" s="17"/>
      <c r="H1591" s="12"/>
      <c r="I1591" s="12"/>
      <c r="J1591" s="12"/>
      <c r="K1591" s="12"/>
      <c r="L1591" s="12"/>
      <c r="M1591" s="11"/>
      <c r="N1591" s="11"/>
      <c r="O1591" s="11"/>
      <c r="P1591" s="11"/>
    </row>
    <row r="1592" spans="7:16" x14ac:dyDescent="0.25">
      <c r="G1592" s="17"/>
      <c r="H1592" s="12"/>
      <c r="I1592" s="12"/>
      <c r="J1592" s="12"/>
      <c r="K1592" s="12"/>
      <c r="L1592" s="12"/>
      <c r="M1592" s="11"/>
      <c r="N1592" s="11"/>
      <c r="O1592" s="11"/>
      <c r="P1592" s="11"/>
    </row>
    <row r="1593" spans="7:16" x14ac:dyDescent="0.25">
      <c r="G1593" s="17"/>
      <c r="H1593" s="12"/>
      <c r="I1593" s="12"/>
      <c r="J1593" s="12"/>
      <c r="K1593" s="12"/>
      <c r="L1593" s="12"/>
      <c r="M1593" s="11"/>
      <c r="N1593" s="11"/>
      <c r="O1593" s="11"/>
      <c r="P1593" s="11"/>
    </row>
    <row r="1594" spans="7:16" x14ac:dyDescent="0.25">
      <c r="G1594" s="17"/>
      <c r="H1594" s="12"/>
      <c r="I1594" s="12"/>
      <c r="J1594" s="12"/>
      <c r="K1594" s="12"/>
      <c r="L1594" s="12"/>
      <c r="M1594" s="11"/>
      <c r="N1594" s="11"/>
      <c r="O1594" s="11"/>
      <c r="P1594" s="11"/>
    </row>
    <row r="1595" spans="7:16" x14ac:dyDescent="0.25">
      <c r="G1595" s="17"/>
      <c r="H1595" s="12"/>
      <c r="I1595" s="12"/>
      <c r="J1595" s="12"/>
      <c r="K1595" s="12"/>
      <c r="L1595" s="12"/>
      <c r="M1595" s="11"/>
      <c r="N1595" s="11"/>
      <c r="O1595" s="11"/>
      <c r="P1595" s="11"/>
    </row>
    <row r="1596" spans="7:16" x14ac:dyDescent="0.25">
      <c r="G1596" s="17"/>
      <c r="H1596" s="12"/>
      <c r="I1596" s="12"/>
      <c r="J1596" s="12"/>
      <c r="K1596" s="12"/>
      <c r="L1596" s="12"/>
      <c r="M1596" s="11"/>
      <c r="N1596" s="11"/>
      <c r="O1596" s="11"/>
      <c r="P1596" s="11"/>
    </row>
    <row r="1597" spans="7:16" x14ac:dyDescent="0.25">
      <c r="G1597" s="17"/>
      <c r="H1597" s="12"/>
      <c r="I1597" s="12"/>
      <c r="J1597" s="12"/>
      <c r="K1597" s="12"/>
      <c r="L1597" s="12"/>
      <c r="M1597" s="11"/>
      <c r="N1597" s="11"/>
      <c r="O1597" s="11"/>
      <c r="P1597" s="11"/>
    </row>
    <row r="1598" spans="7:16" x14ac:dyDescent="0.25">
      <c r="G1598" s="17"/>
      <c r="H1598" s="12"/>
      <c r="I1598" s="12"/>
      <c r="J1598" s="12"/>
      <c r="K1598" s="12"/>
      <c r="L1598" s="12"/>
      <c r="M1598" s="11"/>
      <c r="N1598" s="11"/>
      <c r="O1598" s="11"/>
      <c r="P1598" s="11"/>
    </row>
    <row r="1599" spans="7:16" x14ac:dyDescent="0.25">
      <c r="G1599" s="17"/>
      <c r="H1599" s="12"/>
      <c r="I1599" s="12"/>
      <c r="J1599" s="12"/>
      <c r="K1599" s="12"/>
      <c r="L1599" s="12"/>
      <c r="M1599" s="11"/>
      <c r="N1599" s="11"/>
      <c r="O1599" s="11"/>
      <c r="P1599" s="11"/>
    </row>
    <row r="1600" spans="7:16" x14ac:dyDescent="0.25">
      <c r="G1600" s="17"/>
      <c r="H1600" s="12"/>
      <c r="I1600" s="12"/>
      <c r="J1600" s="12"/>
      <c r="K1600" s="12"/>
      <c r="L1600" s="12"/>
      <c r="M1600" s="11"/>
      <c r="N1600" s="11"/>
      <c r="O1600" s="11"/>
      <c r="P1600" s="11"/>
    </row>
    <row r="1601" spans="7:16" x14ac:dyDescent="0.25">
      <c r="G1601" s="17"/>
      <c r="H1601" s="12"/>
      <c r="I1601" s="12"/>
      <c r="J1601" s="12"/>
      <c r="K1601" s="12"/>
      <c r="L1601" s="12"/>
      <c r="M1601" s="11"/>
      <c r="N1601" s="11"/>
      <c r="O1601" s="11"/>
      <c r="P1601" s="11"/>
    </row>
    <row r="1602" spans="7:16" x14ac:dyDescent="0.25">
      <c r="G1602" s="17"/>
      <c r="H1602" s="12"/>
      <c r="I1602" s="12"/>
      <c r="J1602" s="12"/>
      <c r="K1602" s="12"/>
      <c r="L1602" s="12"/>
      <c r="M1602" s="11"/>
      <c r="N1602" s="11"/>
      <c r="O1602" s="11"/>
      <c r="P1602" s="11"/>
    </row>
    <row r="1603" spans="7:16" x14ac:dyDescent="0.25">
      <c r="G1603" s="17"/>
      <c r="H1603" s="12"/>
      <c r="I1603" s="12"/>
      <c r="J1603" s="12"/>
      <c r="K1603" s="12"/>
      <c r="L1603" s="12"/>
      <c r="M1603" s="11"/>
      <c r="N1603" s="11"/>
      <c r="O1603" s="11"/>
      <c r="P1603" s="11"/>
    </row>
    <row r="1604" spans="7:16" x14ac:dyDescent="0.25">
      <c r="G1604" s="17"/>
      <c r="H1604" s="12"/>
      <c r="I1604" s="12"/>
      <c r="J1604" s="12"/>
      <c r="K1604" s="12"/>
      <c r="L1604" s="12"/>
      <c r="M1604" s="11"/>
      <c r="N1604" s="11"/>
      <c r="O1604" s="11"/>
      <c r="P1604" s="11"/>
    </row>
    <row r="1605" spans="7:16" x14ac:dyDescent="0.25">
      <c r="G1605" s="17"/>
      <c r="H1605" s="12"/>
      <c r="I1605" s="12"/>
      <c r="J1605" s="12"/>
      <c r="K1605" s="12"/>
      <c r="L1605" s="12"/>
      <c r="M1605" s="11"/>
      <c r="N1605" s="11"/>
      <c r="O1605" s="11"/>
      <c r="P1605" s="11"/>
    </row>
    <row r="1606" spans="7:16" x14ac:dyDescent="0.25">
      <c r="G1606" s="17"/>
      <c r="H1606" s="12"/>
      <c r="I1606" s="12"/>
      <c r="J1606" s="12"/>
      <c r="K1606" s="12"/>
      <c r="L1606" s="12"/>
      <c r="M1606" s="11"/>
      <c r="N1606" s="11"/>
      <c r="O1606" s="11"/>
      <c r="P1606" s="11"/>
    </row>
    <row r="1607" spans="7:16" x14ac:dyDescent="0.25">
      <c r="G1607" s="17"/>
      <c r="H1607" s="12"/>
      <c r="I1607" s="12"/>
      <c r="J1607" s="12"/>
      <c r="K1607" s="12"/>
      <c r="L1607" s="12"/>
      <c r="M1607" s="11"/>
      <c r="N1607" s="11"/>
      <c r="O1607" s="11"/>
      <c r="P1607" s="11"/>
    </row>
    <row r="1608" spans="7:16" x14ac:dyDescent="0.25">
      <c r="G1608" s="17"/>
      <c r="H1608" s="12"/>
      <c r="I1608" s="12"/>
      <c r="J1608" s="12"/>
      <c r="K1608" s="12"/>
      <c r="L1608" s="12"/>
      <c r="M1608" s="11"/>
      <c r="N1608" s="11"/>
      <c r="O1608" s="11"/>
      <c r="P1608" s="11"/>
    </row>
    <row r="1609" spans="7:16" x14ac:dyDescent="0.25">
      <c r="G1609" s="17"/>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sortState ref="A114:P1078">
    <sortCondition ref="A1"/>
  </sortState>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60" t="s">
        <v>1000</v>
      </c>
      <c r="B1" s="560" t="s">
        <v>1001</v>
      </c>
      <c r="C1" s="560" t="s">
        <v>1002</v>
      </c>
      <c r="D1" s="560" t="s">
        <v>1003</v>
      </c>
      <c r="E1" s="561" t="s">
        <v>1004</v>
      </c>
    </row>
    <row r="2" spans="1:5" x14ac:dyDescent="0.2">
      <c r="A2" s="562" t="s">
        <v>1005</v>
      </c>
      <c r="B2" s="562" t="s">
        <v>1005</v>
      </c>
      <c r="C2" s="562">
        <v>1000</v>
      </c>
      <c r="D2" s="562">
        <v>6100</v>
      </c>
      <c r="E2" s="563">
        <f>SUMIFS('Accounting data'!$G$2:$G$37000,'Accounting data'!$J$2:$J$37000,"1*",'Accounting data'!$K$2:$K$37000,"61*")</f>
        <v>10702650</v>
      </c>
    </row>
    <row r="3" spans="1:5" x14ac:dyDescent="0.2">
      <c r="A3" s="562" t="s">
        <v>1006</v>
      </c>
      <c r="B3" s="562" t="s">
        <v>1005</v>
      </c>
      <c r="C3" s="562">
        <v>1000</v>
      </c>
      <c r="D3" s="562">
        <v>6100</v>
      </c>
      <c r="E3" s="563">
        <f>SUMIFS('Accounting data'!$G$2:$G$37000,'Accounting data'!$H$2:$H$37000,"9999*",'Accounting data'!$J$2:$J$37000,"1*",'Accounting data'!$K$2:$K$37000,"61*")</f>
        <v>0</v>
      </c>
    </row>
    <row r="4" spans="1:5" x14ac:dyDescent="0.2">
      <c r="A4" s="562" t="s">
        <v>1005</v>
      </c>
      <c r="B4" s="562" t="s">
        <v>1007</v>
      </c>
      <c r="C4" s="562">
        <v>1000</v>
      </c>
      <c r="D4" s="562">
        <v>6100</v>
      </c>
      <c r="E4" s="563">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4" t="s">
        <v>1006</v>
      </c>
      <c r="B5" s="562" t="s">
        <v>1007</v>
      </c>
      <c r="C5" s="562">
        <v>1000</v>
      </c>
      <c r="D5" s="562">
        <v>6100</v>
      </c>
      <c r="E5" s="563">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2"/>
      <c r="B6" s="562"/>
      <c r="C6" s="562"/>
      <c r="D6" s="562"/>
      <c r="E6" s="563"/>
    </row>
    <row r="7" spans="1:5" x14ac:dyDescent="0.2">
      <c r="A7" s="562"/>
      <c r="B7" s="562"/>
      <c r="C7" s="562"/>
      <c r="D7" s="562"/>
      <c r="E7" s="563"/>
    </row>
    <row r="8" spans="1:5" ht="15" x14ac:dyDescent="0.25">
      <c r="A8" s="565" t="s">
        <v>1008</v>
      </c>
      <c r="B8" s="565"/>
      <c r="C8" s="565"/>
      <c r="D8" s="565"/>
      <c r="E8" s="566">
        <f>(E2-E3-E4)+(E5+E6+E7)</f>
        <v>10702650</v>
      </c>
    </row>
    <row r="9" spans="1:5" x14ac:dyDescent="0.2">
      <c r="A9" s="562" t="s">
        <v>1005</v>
      </c>
      <c r="B9" s="562" t="s">
        <v>1005</v>
      </c>
      <c r="C9" s="562">
        <v>2100</v>
      </c>
      <c r="D9" s="562">
        <v>6100</v>
      </c>
      <c r="E9" s="563">
        <f>SUMIFS('Accounting data'!$G$2:$G$37000,'Accounting data'!$J$2:$J$37000,"21*",'Accounting data'!$K$2:$K$37000,"61*")</f>
        <v>4795915</v>
      </c>
    </row>
    <row r="10" spans="1:5" x14ac:dyDescent="0.2">
      <c r="A10" s="562" t="s">
        <v>1006</v>
      </c>
      <c r="B10" s="562" t="s">
        <v>1005</v>
      </c>
      <c r="C10" s="562">
        <v>2100</v>
      </c>
      <c r="D10" s="562">
        <v>6100</v>
      </c>
      <c r="E10" s="563">
        <f>SUMIFS('Accounting data'!$G$2:$G$37000,'Accounting data'!$H$2:$H$37000,"9999*",'Accounting data'!$J$2:$J$37000,"21*",'Accounting data'!$K$2:$K$37000,"61*")</f>
        <v>0</v>
      </c>
    </row>
    <row r="11" spans="1:5" x14ac:dyDescent="0.2">
      <c r="A11" s="562" t="s">
        <v>1005</v>
      </c>
      <c r="B11" s="562" t="s">
        <v>1007</v>
      </c>
      <c r="C11" s="562">
        <v>2100</v>
      </c>
      <c r="D11" s="562">
        <v>6100</v>
      </c>
      <c r="E11" s="563">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4" t="s">
        <v>1006</v>
      </c>
      <c r="B12" s="562" t="s">
        <v>1007</v>
      </c>
      <c r="C12" s="562">
        <v>2100</v>
      </c>
      <c r="D12" s="562">
        <v>6100</v>
      </c>
      <c r="E12" s="563">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2"/>
      <c r="B13" s="562"/>
      <c r="C13" s="562"/>
      <c r="D13" s="562"/>
      <c r="E13" s="563"/>
    </row>
    <row r="14" spans="1:5" x14ac:dyDescent="0.2">
      <c r="A14" s="562"/>
      <c r="B14" s="562"/>
      <c r="C14" s="562"/>
      <c r="D14" s="562"/>
      <c r="E14" s="563"/>
    </row>
    <row r="15" spans="1:5" ht="15" x14ac:dyDescent="0.25">
      <c r="A15" s="565" t="s">
        <v>1009</v>
      </c>
      <c r="B15" s="565"/>
      <c r="C15" s="565"/>
      <c r="D15" s="565"/>
      <c r="E15" s="566">
        <f>(E9-E10-E11)+(E12+E13+E14)</f>
        <v>4795915</v>
      </c>
    </row>
    <row r="16" spans="1:5" x14ac:dyDescent="0.2">
      <c r="A16" s="562" t="s">
        <v>1005</v>
      </c>
      <c r="B16" s="562" t="s">
        <v>1005</v>
      </c>
      <c r="C16" s="562">
        <v>2200</v>
      </c>
      <c r="D16" s="562">
        <v>6100</v>
      </c>
      <c r="E16" s="563">
        <f>SUMIFS('Accounting data'!$G$2:$G$37000,'Accounting data'!$J$2:$J$37000,"22*",'Accounting data'!$K$2:$K$37000,"61*")</f>
        <v>1429122</v>
      </c>
    </row>
    <row r="17" spans="1:5" x14ac:dyDescent="0.2">
      <c r="A17" s="562" t="s">
        <v>1006</v>
      </c>
      <c r="B17" s="562" t="s">
        <v>1005</v>
      </c>
      <c r="C17" s="562">
        <v>2200</v>
      </c>
      <c r="D17" s="562">
        <v>6100</v>
      </c>
      <c r="E17" s="563">
        <f>SUMIFS('Accounting data'!$G$2:$G$37000,'Accounting data'!$H$2:$H$37000,"9999*",'Accounting data'!$J$2:$J$37000,"22*",'Accounting data'!$K$2:$K$37000,"61*")</f>
        <v>0</v>
      </c>
    </row>
    <row r="18" spans="1:5" x14ac:dyDescent="0.2">
      <c r="A18" s="562" t="s">
        <v>1005</v>
      </c>
      <c r="B18" s="562" t="s">
        <v>1007</v>
      </c>
      <c r="C18" s="562">
        <v>2200</v>
      </c>
      <c r="D18" s="562">
        <v>6100</v>
      </c>
      <c r="E18" s="563">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4" t="s">
        <v>1006</v>
      </c>
      <c r="B19" s="562" t="s">
        <v>1007</v>
      </c>
      <c r="C19" s="562">
        <v>2200</v>
      </c>
      <c r="D19" s="562">
        <v>6100</v>
      </c>
      <c r="E19" s="563">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2"/>
      <c r="B20" s="562"/>
      <c r="C20" s="562"/>
      <c r="D20" s="562"/>
      <c r="E20" s="563"/>
    </row>
    <row r="21" spans="1:5" x14ac:dyDescent="0.2">
      <c r="A21" s="562"/>
      <c r="B21" s="562"/>
      <c r="C21" s="562"/>
      <c r="D21" s="562"/>
      <c r="E21" s="563"/>
    </row>
    <row r="22" spans="1:5" ht="15" x14ac:dyDescent="0.25">
      <c r="A22" s="565" t="s">
        <v>1010</v>
      </c>
      <c r="B22" s="565"/>
      <c r="C22" s="565"/>
      <c r="D22" s="565"/>
      <c r="E22" s="566">
        <f>(E16-E17-E18)+(E19+E20+E21)</f>
        <v>1429122</v>
      </c>
    </row>
    <row r="23" spans="1:5" x14ac:dyDescent="0.2">
      <c r="A23" s="562" t="s">
        <v>1005</v>
      </c>
      <c r="B23" s="562" t="s">
        <v>1005</v>
      </c>
      <c r="C23" s="562">
        <v>2300</v>
      </c>
      <c r="D23" s="562">
        <v>6100</v>
      </c>
      <c r="E23" s="563">
        <f>SUMIFS('Accounting data'!$G$2:$G$37000,'Accounting data'!$J$2:$J$37000,"23*",'Accounting data'!$K$2:$K$37000,"61*")</f>
        <v>382259</v>
      </c>
    </row>
    <row r="24" spans="1:5" x14ac:dyDescent="0.2">
      <c r="A24" s="562" t="s">
        <v>1006</v>
      </c>
      <c r="B24" s="562" t="s">
        <v>1005</v>
      </c>
      <c r="C24" s="562">
        <v>2300</v>
      </c>
      <c r="D24" s="562">
        <v>6100</v>
      </c>
      <c r="E24" s="563">
        <f>SUMIFS('Accounting data'!$G$2:$G$37000,'Accounting data'!$H$2:$H$37000,"9999*",'Accounting data'!$J$2:$J$37000,"23*",'Accounting data'!$K$2:$K$37000,"61*")</f>
        <v>0</v>
      </c>
    </row>
    <row r="25" spans="1:5" x14ac:dyDescent="0.2">
      <c r="A25" s="562" t="s">
        <v>1005</v>
      </c>
      <c r="B25" s="562" t="s">
        <v>1007</v>
      </c>
      <c r="C25" s="562">
        <v>2300</v>
      </c>
      <c r="D25" s="562">
        <v>6100</v>
      </c>
      <c r="E25" s="563">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4" t="s">
        <v>1006</v>
      </c>
      <c r="B26" s="562" t="s">
        <v>1007</v>
      </c>
      <c r="C26" s="562">
        <v>2300</v>
      </c>
      <c r="D26" s="562">
        <v>6100</v>
      </c>
      <c r="E26" s="563">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2"/>
      <c r="B27" s="562"/>
      <c r="C27" s="562"/>
      <c r="D27" s="562"/>
      <c r="E27" s="563"/>
    </row>
    <row r="28" spans="1:5" x14ac:dyDescent="0.2">
      <c r="A28" s="562"/>
      <c r="B28" s="562"/>
      <c r="C28" s="562"/>
      <c r="D28" s="562"/>
      <c r="E28" s="563"/>
    </row>
    <row r="29" spans="1:5" x14ac:dyDescent="0.2">
      <c r="A29" s="565" t="s">
        <v>1011</v>
      </c>
      <c r="B29" s="565"/>
      <c r="C29" s="565"/>
      <c r="D29" s="565"/>
      <c r="E29" s="567">
        <f>(E23-E24-E25)+(E26+E27+E28)</f>
        <v>382259</v>
      </c>
    </row>
    <row r="30" spans="1:5" x14ac:dyDescent="0.2">
      <c r="A30" s="562" t="s">
        <v>1005</v>
      </c>
      <c r="B30" s="562" t="s">
        <v>1005</v>
      </c>
      <c r="C30" s="562">
        <v>2400</v>
      </c>
      <c r="D30" s="562">
        <v>6100</v>
      </c>
      <c r="E30" s="563">
        <f>SUMIFS('Accounting data'!$G$2:$G$37000,'Accounting data'!$J$2:$J$37000,"24*",'Accounting data'!$K$2:$K$37000,"61*")</f>
        <v>1048943</v>
      </c>
    </row>
    <row r="31" spans="1:5" x14ac:dyDescent="0.2">
      <c r="A31" s="562" t="s">
        <v>1006</v>
      </c>
      <c r="B31" s="562" t="s">
        <v>1005</v>
      </c>
      <c r="C31" s="562">
        <v>2400</v>
      </c>
      <c r="D31" s="562">
        <v>6100</v>
      </c>
      <c r="E31" s="563">
        <f>SUMIFS('Accounting data'!$G$2:$G$37000,'Accounting data'!$H$2:$H$37000,"9999*",'Accounting data'!$J$2:$J$37000,"24*",'Accounting data'!$K$2:$K$37000,"61*")</f>
        <v>0</v>
      </c>
    </row>
    <row r="32" spans="1:5" x14ac:dyDescent="0.2">
      <c r="A32" s="562" t="s">
        <v>1005</v>
      </c>
      <c r="B32" s="562" t="s">
        <v>1007</v>
      </c>
      <c r="C32" s="562">
        <v>2400</v>
      </c>
      <c r="D32" s="562">
        <v>6100</v>
      </c>
      <c r="E32" s="563">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4" t="s">
        <v>1006</v>
      </c>
      <c r="B33" s="562" t="s">
        <v>1007</v>
      </c>
      <c r="C33" s="562">
        <v>2400</v>
      </c>
      <c r="D33" s="562">
        <v>6100</v>
      </c>
      <c r="E33" s="563">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2"/>
      <c r="B34" s="562"/>
      <c r="C34" s="562"/>
      <c r="D34" s="562"/>
      <c r="E34" s="563"/>
    </row>
    <row r="35" spans="1:5" x14ac:dyDescent="0.2">
      <c r="A35" s="562"/>
      <c r="B35" s="562"/>
      <c r="C35" s="562"/>
      <c r="D35" s="562"/>
      <c r="E35" s="563"/>
    </row>
    <row r="36" spans="1:5" ht="15" x14ac:dyDescent="0.25">
      <c r="A36" s="565" t="s">
        <v>1012</v>
      </c>
      <c r="B36" s="565"/>
      <c r="C36" s="565"/>
      <c r="D36" s="565"/>
      <c r="E36" s="566">
        <f>(E30-E31-E32)+(E33+E34+E35)</f>
        <v>1048943</v>
      </c>
    </row>
    <row r="37" spans="1:5" x14ac:dyDescent="0.2">
      <c r="A37" s="562" t="s">
        <v>1005</v>
      </c>
      <c r="B37" s="562" t="s">
        <v>1005</v>
      </c>
      <c r="C37" s="562">
        <v>2500</v>
      </c>
      <c r="D37" s="562">
        <v>6100</v>
      </c>
      <c r="E37" s="563">
        <f>SUMIFS('Accounting data'!$G$2:$G$37000,'Accounting data'!$J$2:$J$37000,"25*",'Accounting data'!$K$2:$K$37000,"61*")</f>
        <v>3772329</v>
      </c>
    </row>
    <row r="38" spans="1:5" x14ac:dyDescent="0.2">
      <c r="A38" s="562" t="s">
        <v>1006</v>
      </c>
      <c r="B38" s="562" t="s">
        <v>1005</v>
      </c>
      <c r="C38" s="562">
        <v>2500</v>
      </c>
      <c r="D38" s="562">
        <v>6100</v>
      </c>
      <c r="E38" s="563">
        <f>SUMIFS('Accounting data'!$G$2:$G$37000,'Accounting data'!$H$2:$H$37000,"9999*",'Accounting data'!$J$2:$J$37000,"25*",'Accounting data'!$K$2:$K$37000,"61*")</f>
        <v>0</v>
      </c>
    </row>
    <row r="39" spans="1:5" x14ac:dyDescent="0.2">
      <c r="A39" s="562" t="s">
        <v>1005</v>
      </c>
      <c r="B39" s="562" t="s">
        <v>1007</v>
      </c>
      <c r="C39" s="562">
        <v>2500</v>
      </c>
      <c r="D39" s="562">
        <v>6100</v>
      </c>
      <c r="E39" s="563">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4" t="s">
        <v>1006</v>
      </c>
      <c r="B40" s="562" t="s">
        <v>1007</v>
      </c>
      <c r="C40" s="562">
        <v>2500</v>
      </c>
      <c r="D40" s="562">
        <v>6100</v>
      </c>
      <c r="E40" s="563">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2"/>
      <c r="B41" s="562"/>
      <c r="C41" s="562"/>
      <c r="D41" s="562"/>
      <c r="E41" s="563"/>
    </row>
    <row r="42" spans="1:5" x14ac:dyDescent="0.2">
      <c r="A42" s="562"/>
      <c r="B42" s="562"/>
      <c r="C42" s="562"/>
      <c r="D42" s="562"/>
      <c r="E42" s="563"/>
    </row>
    <row r="43" spans="1:5" ht="15" x14ac:dyDescent="0.25">
      <c r="A43" s="565" t="s">
        <v>1013</v>
      </c>
      <c r="B43" s="565"/>
      <c r="C43" s="565"/>
      <c r="D43" s="565"/>
      <c r="E43" s="566">
        <f>(E37-E38-E39)+(E40+E41+E42)</f>
        <v>3772329</v>
      </c>
    </row>
    <row r="44" spans="1:5" x14ac:dyDescent="0.2">
      <c r="A44" s="562" t="s">
        <v>1005</v>
      </c>
      <c r="B44" s="562" t="s">
        <v>1005</v>
      </c>
      <c r="C44" s="562">
        <v>2900</v>
      </c>
      <c r="D44" s="562">
        <v>6100</v>
      </c>
      <c r="E44" s="563">
        <f>SUMIFS('Accounting data'!$G$2:$G$37000,'Accounting data'!$J$2:$J$37000,"29*",'Accounting data'!$K$2:$K$37000,"61*")</f>
        <v>0</v>
      </c>
    </row>
    <row r="45" spans="1:5" x14ac:dyDescent="0.2">
      <c r="A45" s="562" t="s">
        <v>1006</v>
      </c>
      <c r="B45" s="562" t="s">
        <v>1005</v>
      </c>
      <c r="C45" s="562">
        <v>2900</v>
      </c>
      <c r="D45" s="562">
        <v>6100</v>
      </c>
      <c r="E45" s="563">
        <f>SUMIFS('Accounting data'!$G$2:$G$37000,'Accounting data'!$H$2:$H$37000,"9999*",'Accounting data'!$J$2:$J$37000,"29*",'Accounting data'!$K$2:$K$37000,"61*")</f>
        <v>0</v>
      </c>
    </row>
    <row r="46" spans="1:5" x14ac:dyDescent="0.2">
      <c r="A46" s="562" t="s">
        <v>1005</v>
      </c>
      <c r="B46" s="562" t="s">
        <v>1007</v>
      </c>
      <c r="C46" s="562">
        <v>2900</v>
      </c>
      <c r="D46" s="562">
        <v>6100</v>
      </c>
      <c r="E46" s="563">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4" t="s">
        <v>1006</v>
      </c>
      <c r="B47" s="562" t="s">
        <v>1007</v>
      </c>
      <c r="C47" s="562">
        <v>2900</v>
      </c>
      <c r="D47" s="562">
        <v>6100</v>
      </c>
      <c r="E47" s="563">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2"/>
      <c r="B48" s="562"/>
      <c r="C48" s="562"/>
      <c r="D48" s="562"/>
      <c r="E48" s="563"/>
    </row>
    <row r="49" spans="1:5" x14ac:dyDescent="0.2">
      <c r="A49" s="562"/>
      <c r="B49" s="562"/>
      <c r="C49" s="562"/>
      <c r="D49" s="562"/>
      <c r="E49" s="563"/>
    </row>
    <row r="50" spans="1:5" ht="15" x14ac:dyDescent="0.25">
      <c r="A50" s="565" t="s">
        <v>1014</v>
      </c>
      <c r="B50" s="565"/>
      <c r="C50" s="565"/>
      <c r="D50" s="565"/>
      <c r="E50" s="566">
        <f>(E44-E45-E46)+(E47+E48+E49)</f>
        <v>0</v>
      </c>
    </row>
    <row r="51" spans="1:5" x14ac:dyDescent="0.2">
      <c r="A51" s="562" t="s">
        <v>1005</v>
      </c>
      <c r="B51" s="562" t="s">
        <v>1005</v>
      </c>
      <c r="C51" s="562">
        <v>2600</v>
      </c>
      <c r="D51" s="562">
        <v>6100</v>
      </c>
      <c r="E51" s="563">
        <f>SUMIFS('Accounting data'!$G$2:$G$37000,'Accounting data'!$J$2:$J$37000,"26*",'Accounting data'!$K$2:$K$37000,"61*")</f>
        <v>99762</v>
      </c>
    </row>
    <row r="52" spans="1:5" x14ac:dyDescent="0.2">
      <c r="A52" s="562" t="s">
        <v>1006</v>
      </c>
      <c r="B52" s="562" t="s">
        <v>1005</v>
      </c>
      <c r="C52" s="562">
        <v>2600</v>
      </c>
      <c r="D52" s="562">
        <v>6100</v>
      </c>
      <c r="E52" s="563">
        <f>SUMIFS('Accounting data'!$G$2:$G$37000,'Accounting data'!$H$2:$H$37000,"9999*",'Accounting data'!$J$2:$J$37000,"26*",'Accounting data'!$K$2:$K$37000,"61*")</f>
        <v>0</v>
      </c>
    </row>
    <row r="53" spans="1:5" x14ac:dyDescent="0.2">
      <c r="A53" s="562" t="s">
        <v>1005</v>
      </c>
      <c r="B53" s="562" t="s">
        <v>1007</v>
      </c>
      <c r="C53" s="562">
        <v>2600</v>
      </c>
      <c r="D53" s="562">
        <v>6100</v>
      </c>
      <c r="E53" s="563">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4" t="s">
        <v>1006</v>
      </c>
      <c r="B54" s="562" t="s">
        <v>1007</v>
      </c>
      <c r="C54" s="562">
        <v>2600</v>
      </c>
      <c r="D54" s="562">
        <v>6100</v>
      </c>
      <c r="E54" s="563">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2"/>
      <c r="B55" s="562"/>
      <c r="C55" s="562"/>
      <c r="D55" s="562"/>
      <c r="E55" s="563"/>
    </row>
    <row r="56" spans="1:5" x14ac:dyDescent="0.2">
      <c r="A56" s="562"/>
      <c r="B56" s="562"/>
      <c r="C56" s="562"/>
      <c r="D56" s="562"/>
      <c r="E56" s="563"/>
    </row>
    <row r="57" spans="1:5" ht="15" x14ac:dyDescent="0.25">
      <c r="A57" s="565" t="s">
        <v>1015</v>
      </c>
      <c r="B57" s="565"/>
      <c r="C57" s="565"/>
      <c r="D57" s="565"/>
      <c r="E57" s="566">
        <f>(E51-E52-E53)+(E54+E55+E56)</f>
        <v>99762</v>
      </c>
    </row>
    <row r="58" spans="1:5" x14ac:dyDescent="0.2">
      <c r="A58" s="562" t="s">
        <v>1005</v>
      </c>
      <c r="B58" s="562" t="s">
        <v>1005</v>
      </c>
      <c r="C58" s="562">
        <v>2700</v>
      </c>
      <c r="D58" s="562">
        <v>6100</v>
      </c>
      <c r="E58" s="563">
        <f>SUMIFS('Accounting data'!$G$2:$G$37000,'Accounting data'!$J$2:$J$37000,"27*",'Accounting data'!$K$2:$K$37000,"61*")</f>
        <v>14859</v>
      </c>
    </row>
    <row r="59" spans="1:5" x14ac:dyDescent="0.2">
      <c r="A59" s="562" t="s">
        <v>1006</v>
      </c>
      <c r="B59" s="562" t="s">
        <v>1005</v>
      </c>
      <c r="C59" s="562">
        <v>2700</v>
      </c>
      <c r="D59" s="562">
        <v>6100</v>
      </c>
      <c r="E59" s="563">
        <f>SUMIFS('Accounting data'!$G$2:$G$37000,'Accounting data'!$H$2:$H$37000,"9999*",'Accounting data'!$J$2:$J$37000,"27*",'Accounting data'!$K$2:$K$37000,"61*")</f>
        <v>0</v>
      </c>
    </row>
    <row r="60" spans="1:5" x14ac:dyDescent="0.2">
      <c r="A60" s="562" t="s">
        <v>1005</v>
      </c>
      <c r="B60" s="562" t="s">
        <v>1007</v>
      </c>
      <c r="C60" s="562">
        <v>2700</v>
      </c>
      <c r="D60" s="562">
        <v>6100</v>
      </c>
      <c r="E60" s="563">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4" t="s">
        <v>1006</v>
      </c>
      <c r="B61" s="562" t="s">
        <v>1007</v>
      </c>
      <c r="C61" s="562">
        <v>2700</v>
      </c>
      <c r="D61" s="562">
        <v>6100</v>
      </c>
      <c r="E61" s="563">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2"/>
      <c r="B62" s="562"/>
      <c r="C62" s="562"/>
      <c r="D62" s="562"/>
      <c r="E62" s="563"/>
    </row>
    <row r="63" spans="1:5" x14ac:dyDescent="0.2">
      <c r="A63" s="562"/>
      <c r="B63" s="562"/>
      <c r="C63" s="562"/>
      <c r="D63" s="562"/>
      <c r="E63" s="563"/>
    </row>
    <row r="64" spans="1:5" ht="15" x14ac:dyDescent="0.25">
      <c r="A64" s="565" t="s">
        <v>1016</v>
      </c>
      <c r="B64" s="565"/>
      <c r="C64" s="565"/>
      <c r="D64" s="565"/>
      <c r="E64" s="566">
        <f>(E58-E59-E60)+(E61+E62+E63)</f>
        <v>14859</v>
      </c>
    </row>
    <row r="65" spans="1:5" x14ac:dyDescent="0.2">
      <c r="A65" s="562" t="s">
        <v>1005</v>
      </c>
      <c r="B65" s="562" t="s">
        <v>1005</v>
      </c>
      <c r="C65" s="562">
        <v>3100</v>
      </c>
      <c r="D65" s="562">
        <v>6100</v>
      </c>
      <c r="E65" s="563">
        <f>SUMIFS('Accounting data'!$G$2:$G$37000,'Accounting data'!$J$2:$J$37000,"31*",'Accounting data'!$K$2:$K$37000,"61*")</f>
        <v>430</v>
      </c>
    </row>
    <row r="66" spans="1:5" x14ac:dyDescent="0.2">
      <c r="A66" s="562" t="s">
        <v>1006</v>
      </c>
      <c r="B66" s="562" t="s">
        <v>1005</v>
      </c>
      <c r="C66" s="562">
        <v>3100</v>
      </c>
      <c r="D66" s="562">
        <v>6100</v>
      </c>
      <c r="E66" s="563">
        <f>SUMIFS('Accounting data'!$G$2:$G$37000,'Accounting data'!$H$2:$H$37000,"9999*",'Accounting data'!$J$2:$J$37000,"31*",'Accounting data'!$K$2:$K$37000,"61*")</f>
        <v>0</v>
      </c>
    </row>
    <row r="67" spans="1:5" x14ac:dyDescent="0.2">
      <c r="A67" s="562" t="s">
        <v>1005</v>
      </c>
      <c r="B67" s="562" t="s">
        <v>1007</v>
      </c>
      <c r="C67" s="562">
        <v>3100</v>
      </c>
      <c r="D67" s="562">
        <v>6100</v>
      </c>
      <c r="E67" s="563">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4" t="s">
        <v>1006</v>
      </c>
      <c r="B68" s="562" t="s">
        <v>1007</v>
      </c>
      <c r="C68" s="562">
        <v>3100</v>
      </c>
      <c r="D68" s="562">
        <v>6100</v>
      </c>
      <c r="E68" s="563">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2"/>
      <c r="B69" s="562"/>
      <c r="C69" s="562"/>
      <c r="D69" s="562"/>
      <c r="E69" s="563"/>
    </row>
    <row r="70" spans="1:5" x14ac:dyDescent="0.2">
      <c r="A70" s="562"/>
      <c r="B70" s="562"/>
      <c r="C70" s="562"/>
      <c r="D70" s="562"/>
      <c r="E70" s="563"/>
    </row>
    <row r="71" spans="1:5" ht="15" x14ac:dyDescent="0.25">
      <c r="A71" s="565" t="s">
        <v>1017</v>
      </c>
      <c r="B71" s="565"/>
      <c r="C71" s="565"/>
      <c r="D71" s="565"/>
      <c r="E71" s="566">
        <f>(E65-E66-E67)+(E68+E69+E70)</f>
        <v>430</v>
      </c>
    </row>
    <row r="72" spans="1:5" x14ac:dyDescent="0.2">
      <c r="A72" s="562"/>
      <c r="B72" s="562"/>
      <c r="C72" s="562"/>
      <c r="D72" s="562"/>
      <c r="E72" s="563"/>
    </row>
    <row r="73" spans="1:5" x14ac:dyDescent="0.2">
      <c r="A73" s="562"/>
      <c r="B73" s="562"/>
      <c r="C73" s="562"/>
      <c r="D73" s="562"/>
      <c r="E73" s="563"/>
    </row>
    <row r="74" spans="1:5" x14ac:dyDescent="0.2">
      <c r="A74" s="562"/>
      <c r="B74" s="562"/>
      <c r="C74" s="562"/>
      <c r="D74" s="562"/>
      <c r="E74" s="563"/>
    </row>
    <row r="75" spans="1:5" x14ac:dyDescent="0.2">
      <c r="A75" s="564"/>
      <c r="B75" s="562"/>
      <c r="C75" s="562"/>
      <c r="D75" s="562"/>
      <c r="E75" s="563"/>
    </row>
    <row r="76" spans="1:5" x14ac:dyDescent="0.2">
      <c r="A76" s="562"/>
      <c r="B76" s="562"/>
      <c r="C76" s="562"/>
      <c r="D76" s="562"/>
      <c r="E76" s="563"/>
    </row>
    <row r="77" spans="1:5" x14ac:dyDescent="0.2">
      <c r="A77" s="562"/>
      <c r="B77" s="562"/>
      <c r="C77" s="562"/>
      <c r="D77" s="562"/>
      <c r="E77" s="563"/>
    </row>
    <row r="78" spans="1:5" ht="15" x14ac:dyDescent="0.25">
      <c r="A78" s="565"/>
      <c r="B78" s="565"/>
      <c r="C78" s="565"/>
      <c r="D78" s="565"/>
      <c r="E78" s="566"/>
    </row>
    <row r="79" spans="1:5" x14ac:dyDescent="0.2">
      <c r="A79" s="562" t="s">
        <v>1005</v>
      </c>
      <c r="B79" s="562" t="s">
        <v>1005</v>
      </c>
      <c r="C79" s="562">
        <v>3400</v>
      </c>
      <c r="D79" s="562">
        <v>6100</v>
      </c>
      <c r="E79" s="563">
        <f>SUMIFS('Accounting data'!$G$2:$G$37000,'Accounting data'!$J$2:$J$37000,"34*",'Accounting data'!$K$2:$K$37000,"61*")</f>
        <v>0</v>
      </c>
    </row>
    <row r="80" spans="1:5" x14ac:dyDescent="0.2">
      <c r="A80" s="562" t="s">
        <v>1006</v>
      </c>
      <c r="B80" s="562" t="s">
        <v>1005</v>
      </c>
      <c r="C80" s="562">
        <v>3400</v>
      </c>
      <c r="D80" s="562">
        <v>6100</v>
      </c>
      <c r="E80" s="563">
        <f>SUMIFS('Accounting data'!$G$2:$G$37000,'Accounting data'!$H$2:$H$37000,"9999*",'Accounting data'!$J$2:$J$37000,"34*",'Accounting data'!$K$2:$K$37000,"61*")</f>
        <v>0</v>
      </c>
    </row>
    <row r="81" spans="1:5" x14ac:dyDescent="0.2">
      <c r="A81" s="562" t="s">
        <v>1005</v>
      </c>
      <c r="B81" s="562" t="s">
        <v>1007</v>
      </c>
      <c r="C81" s="562">
        <v>3400</v>
      </c>
      <c r="D81" s="562">
        <v>6100</v>
      </c>
      <c r="E81" s="563">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4" t="s">
        <v>1006</v>
      </c>
      <c r="B82" s="562" t="s">
        <v>1007</v>
      </c>
      <c r="C82" s="562">
        <v>3400</v>
      </c>
      <c r="D82" s="562">
        <v>6100</v>
      </c>
      <c r="E82" s="563">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2"/>
      <c r="B83" s="562"/>
      <c r="C83" s="562"/>
      <c r="D83" s="562"/>
      <c r="E83" s="563"/>
    </row>
    <row r="84" spans="1:5" x14ac:dyDescent="0.2">
      <c r="A84" s="562"/>
      <c r="B84" s="562"/>
      <c r="C84" s="562"/>
      <c r="D84" s="562"/>
      <c r="E84" s="563"/>
    </row>
    <row r="85" spans="1:5" ht="15" x14ac:dyDescent="0.25">
      <c r="A85" s="565" t="s">
        <v>1018</v>
      </c>
      <c r="B85" s="565"/>
      <c r="C85" s="565"/>
      <c r="D85" s="565"/>
      <c r="E85" s="566">
        <f>(E79-E80-E81)+(E82+E83+E84)</f>
        <v>0</v>
      </c>
    </row>
    <row r="86" spans="1:5" x14ac:dyDescent="0.2">
      <c r="A86" s="562" t="s">
        <v>1005</v>
      </c>
      <c r="B86" s="562" t="s">
        <v>1005</v>
      </c>
      <c r="C86" s="562">
        <v>4000</v>
      </c>
      <c r="D86" s="562">
        <v>6100</v>
      </c>
      <c r="E86" s="563">
        <f>SUMIFS('Accounting data'!$G$2:$G$37000,'Accounting data'!$J$2:$J$37000,"4*",'Accounting data'!$K$2:$K$37000,"61*")</f>
        <v>0</v>
      </c>
    </row>
    <row r="87" spans="1:5" x14ac:dyDescent="0.2">
      <c r="A87" s="562" t="s">
        <v>1006</v>
      </c>
      <c r="B87" s="562" t="s">
        <v>1005</v>
      </c>
      <c r="C87" s="562">
        <v>4000</v>
      </c>
      <c r="D87" s="562">
        <v>6100</v>
      </c>
      <c r="E87" s="563">
        <f>SUMIFS('Accounting data'!$G$2:$G$37000,'Accounting data'!$H$2:$H$37000,"9999*",'Accounting data'!$J$2:$J$37000,"4*",'Accounting data'!$K$2:$K$37000,"61*")</f>
        <v>0</v>
      </c>
    </row>
    <row r="88" spans="1:5" x14ac:dyDescent="0.2">
      <c r="A88" s="562" t="s">
        <v>1005</v>
      </c>
      <c r="B88" s="562" t="s">
        <v>1007</v>
      </c>
      <c r="C88" s="562">
        <v>4000</v>
      </c>
      <c r="D88" s="562">
        <v>6100</v>
      </c>
      <c r="E88" s="563">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4" t="s">
        <v>1006</v>
      </c>
      <c r="B89" s="562" t="s">
        <v>1007</v>
      </c>
      <c r="C89" s="562">
        <v>4000</v>
      </c>
      <c r="D89" s="562">
        <v>6100</v>
      </c>
      <c r="E89" s="563">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2"/>
      <c r="B90" s="562"/>
      <c r="C90" s="562"/>
      <c r="D90" s="562"/>
      <c r="E90" s="563"/>
    </row>
    <row r="91" spans="1:5" x14ac:dyDescent="0.2">
      <c r="A91" s="562"/>
      <c r="B91" s="562"/>
      <c r="C91" s="562"/>
      <c r="D91" s="562"/>
      <c r="E91" s="563"/>
    </row>
    <row r="92" spans="1:5" ht="15" x14ac:dyDescent="0.25">
      <c r="A92" s="565" t="s">
        <v>1019</v>
      </c>
      <c r="B92" s="565"/>
      <c r="C92" s="565"/>
      <c r="D92" s="565"/>
      <c r="E92" s="566">
        <f>(E86-E87-E88)+(E89+E90+E91)</f>
        <v>0</v>
      </c>
    </row>
    <row r="93" spans="1:5" ht="15" x14ac:dyDescent="0.25">
      <c r="A93" s="568" t="s">
        <v>1020</v>
      </c>
      <c r="B93" s="568"/>
      <c r="C93" s="568"/>
      <c r="D93" s="568"/>
      <c r="E93" s="569">
        <f>E8+E15+E22+E29+E36+E43+E50+E57+E64+E71+E78+E85</f>
        <v>22246269</v>
      </c>
    </row>
    <row r="94" spans="1:5" x14ac:dyDescent="0.2">
      <c r="A94" s="562" t="s">
        <v>1021</v>
      </c>
      <c r="B94" s="562" t="s">
        <v>1005</v>
      </c>
      <c r="C94" s="562">
        <v>1000</v>
      </c>
      <c r="D94" s="562">
        <v>6100</v>
      </c>
      <c r="E94" s="563">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1752883</v>
      </c>
    </row>
    <row r="95" spans="1:5" x14ac:dyDescent="0.2">
      <c r="A95" s="562" t="s">
        <v>1021</v>
      </c>
      <c r="B95" s="562" t="s">
        <v>1005</v>
      </c>
      <c r="C95" s="562">
        <v>2000</v>
      </c>
      <c r="D95" s="562">
        <v>6100</v>
      </c>
      <c r="E95" s="563">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1193898</v>
      </c>
    </row>
    <row r="96" spans="1:5" x14ac:dyDescent="0.2">
      <c r="A96" s="562" t="s">
        <v>1021</v>
      </c>
      <c r="B96" s="562" t="s">
        <v>1005</v>
      </c>
      <c r="C96" s="562">
        <v>3000</v>
      </c>
      <c r="D96" s="562">
        <v>6100</v>
      </c>
      <c r="E96" s="563">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2" t="s">
        <v>1021</v>
      </c>
      <c r="B97" s="564">
        <v>700</v>
      </c>
      <c r="C97" s="562">
        <v>1000</v>
      </c>
      <c r="D97" s="562">
        <v>6100</v>
      </c>
      <c r="E97" s="563">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2" t="s">
        <v>1021</v>
      </c>
      <c r="B98" s="564">
        <v>800</v>
      </c>
      <c r="C98" s="562">
        <v>1000</v>
      </c>
      <c r="D98" s="562">
        <v>6100</v>
      </c>
      <c r="E98" s="563">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2" t="s">
        <v>1021</v>
      </c>
      <c r="B99" s="564">
        <v>900</v>
      </c>
      <c r="C99" s="562">
        <v>1000</v>
      </c>
      <c r="D99" s="562">
        <v>6100</v>
      </c>
      <c r="E99" s="563">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2" t="s">
        <v>1021</v>
      </c>
      <c r="B100" s="564">
        <v>700</v>
      </c>
      <c r="C100" s="562">
        <v>2000</v>
      </c>
      <c r="D100" s="562">
        <v>6100</v>
      </c>
      <c r="E100" s="563">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2" t="s">
        <v>1021</v>
      </c>
      <c r="B101" s="564">
        <v>800</v>
      </c>
      <c r="C101" s="562">
        <v>2000</v>
      </c>
      <c r="D101" s="562">
        <v>6100</v>
      </c>
      <c r="E101" s="563">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2" t="s">
        <v>1021</v>
      </c>
      <c r="B102" s="564">
        <v>900</v>
      </c>
      <c r="C102" s="562">
        <v>2000</v>
      </c>
      <c r="D102" s="562">
        <v>6100</v>
      </c>
      <c r="E102" s="563">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2" t="s">
        <v>1021</v>
      </c>
      <c r="B103" s="564">
        <v>700</v>
      </c>
      <c r="C103" s="562">
        <v>3000</v>
      </c>
      <c r="D103" s="562">
        <v>6100</v>
      </c>
      <c r="E103" s="563">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2" t="s">
        <v>1021</v>
      </c>
      <c r="B104" s="564">
        <v>800</v>
      </c>
      <c r="C104" s="562">
        <v>3000</v>
      </c>
      <c r="D104" s="562">
        <v>6100</v>
      </c>
      <c r="E104" s="563">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2" t="s">
        <v>1021</v>
      </c>
      <c r="B105" s="564">
        <v>900</v>
      </c>
      <c r="C105" s="562">
        <v>3000</v>
      </c>
      <c r="D105" s="562">
        <v>6100</v>
      </c>
      <c r="E105" s="563">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5" t="s">
        <v>1022</v>
      </c>
      <c r="B106" s="565"/>
      <c r="C106" s="565"/>
      <c r="D106" s="565"/>
      <c r="E106" s="566">
        <f>(E94+E95+E96)-(E97+E98+E99+E100+E101+E102+E103+E104+E105)</f>
        <v>2946781</v>
      </c>
    </row>
    <row r="107" spans="1:5" x14ac:dyDescent="0.2">
      <c r="A107" s="562" t="s">
        <v>1005</v>
      </c>
      <c r="B107" s="562" t="s">
        <v>1005</v>
      </c>
      <c r="C107" s="562">
        <v>1000</v>
      </c>
      <c r="D107" s="562">
        <v>6200</v>
      </c>
      <c r="E107" s="563">
        <f>SUMIFS('Accounting data'!$G$2:$G$37000,'Accounting data'!$J$2:$J$37000,"1*",'Accounting data'!$K$2:$K$37000,"62*")</f>
        <v>2543190</v>
      </c>
    </row>
    <row r="108" spans="1:5" x14ac:dyDescent="0.2">
      <c r="A108" s="562" t="s">
        <v>1006</v>
      </c>
      <c r="B108" s="562" t="s">
        <v>1005</v>
      </c>
      <c r="C108" s="562">
        <v>1000</v>
      </c>
      <c r="D108" s="562">
        <v>6200</v>
      </c>
      <c r="E108" s="563">
        <f>SUMIFS('Accounting data'!$G$2:$G$37000,'Accounting data'!$H$2:$H$37000,"9999*",'Accounting data'!$J$2:$J$37000,"1*",'Accounting data'!$K$2:$K$37000,"62*")</f>
        <v>0</v>
      </c>
    </row>
    <row r="109" spans="1:5" x14ac:dyDescent="0.2">
      <c r="A109" s="562" t="s">
        <v>1005</v>
      </c>
      <c r="B109" s="562" t="s">
        <v>1007</v>
      </c>
      <c r="C109" s="562">
        <v>1000</v>
      </c>
      <c r="D109" s="562">
        <v>6200</v>
      </c>
      <c r="E109" s="563">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4" t="s">
        <v>1006</v>
      </c>
      <c r="B110" s="562" t="s">
        <v>1007</v>
      </c>
      <c r="C110" s="562">
        <v>1000</v>
      </c>
      <c r="D110" s="562">
        <v>6200</v>
      </c>
      <c r="E110" s="563">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2"/>
      <c r="B111" s="562"/>
      <c r="C111" s="562"/>
      <c r="D111" s="562"/>
      <c r="E111" s="563"/>
    </row>
    <row r="112" spans="1:5" x14ac:dyDescent="0.2">
      <c r="A112" s="562"/>
      <c r="B112" s="562"/>
      <c r="C112" s="562"/>
      <c r="D112" s="562"/>
      <c r="E112" s="563"/>
    </row>
    <row r="113" spans="1:5" ht="15" x14ac:dyDescent="0.25">
      <c r="A113" s="565" t="s">
        <v>1023</v>
      </c>
      <c r="B113" s="565"/>
      <c r="C113" s="565"/>
      <c r="D113" s="565"/>
      <c r="E113" s="566">
        <f>(E107-E108-E109)+(E110+E111+E112)</f>
        <v>2543190</v>
      </c>
    </row>
    <row r="114" spans="1:5" x14ac:dyDescent="0.2">
      <c r="A114" s="562" t="s">
        <v>1005</v>
      </c>
      <c r="B114" s="562" t="s">
        <v>1005</v>
      </c>
      <c r="C114" s="562">
        <v>2100</v>
      </c>
      <c r="D114" s="562">
        <v>6200</v>
      </c>
      <c r="E114" s="563">
        <f>SUMIFS('Accounting data'!$G$2:$G$37000,'Accounting data'!$J$2:$J$37000,"21*",'Accounting data'!$K$2:$K$37000,"62*")</f>
        <v>1181153</v>
      </c>
    </row>
    <row r="115" spans="1:5" x14ac:dyDescent="0.2">
      <c r="A115" s="562" t="s">
        <v>1006</v>
      </c>
      <c r="B115" s="562" t="s">
        <v>1005</v>
      </c>
      <c r="C115" s="562">
        <v>2100</v>
      </c>
      <c r="D115" s="562">
        <v>6200</v>
      </c>
      <c r="E115" s="563">
        <f>SUMIFS('Accounting data'!$G$2:$G$37000,'Accounting data'!$H$2:$H$37000,"9999*",'Accounting data'!$J$2:$J$37000,"21*",'Accounting data'!$K$2:$K$37000,"62*")</f>
        <v>0</v>
      </c>
    </row>
    <row r="116" spans="1:5" x14ac:dyDescent="0.2">
      <c r="A116" s="562" t="s">
        <v>1005</v>
      </c>
      <c r="B116" s="562" t="s">
        <v>1007</v>
      </c>
      <c r="C116" s="562">
        <v>2100</v>
      </c>
      <c r="D116" s="562">
        <v>6200</v>
      </c>
      <c r="E116" s="563">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4" t="s">
        <v>1006</v>
      </c>
      <c r="B117" s="562" t="s">
        <v>1007</v>
      </c>
      <c r="C117" s="562">
        <v>2100</v>
      </c>
      <c r="D117" s="562">
        <v>6200</v>
      </c>
      <c r="E117" s="563">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2"/>
      <c r="B118" s="562"/>
      <c r="C118" s="562"/>
      <c r="D118" s="562"/>
      <c r="E118" s="563"/>
    </row>
    <row r="119" spans="1:5" x14ac:dyDescent="0.2">
      <c r="A119" s="562"/>
      <c r="B119" s="562"/>
      <c r="C119" s="562"/>
      <c r="D119" s="562"/>
      <c r="E119" s="563"/>
    </row>
    <row r="120" spans="1:5" ht="15" x14ac:dyDescent="0.25">
      <c r="A120" s="565" t="s">
        <v>1024</v>
      </c>
      <c r="B120" s="565"/>
      <c r="C120" s="565"/>
      <c r="D120" s="565"/>
      <c r="E120" s="566">
        <f>(E114-E115-E116)+(E117+E118+E119)</f>
        <v>1181153</v>
      </c>
    </row>
    <row r="121" spans="1:5" x14ac:dyDescent="0.2">
      <c r="A121" s="562" t="s">
        <v>1005</v>
      </c>
      <c r="B121" s="562" t="s">
        <v>1005</v>
      </c>
      <c r="C121" s="562">
        <v>2200</v>
      </c>
      <c r="D121" s="562">
        <v>6200</v>
      </c>
      <c r="E121" s="563">
        <f>SUMIFS('Accounting data'!$G$2:$G$37000,'Accounting data'!$J$2:$J$37000,"22*",'Accounting data'!$K$2:$K$37000,"62*")</f>
        <v>386220</v>
      </c>
    </row>
    <row r="122" spans="1:5" x14ac:dyDescent="0.2">
      <c r="A122" s="562" t="s">
        <v>1006</v>
      </c>
      <c r="B122" s="562" t="s">
        <v>1005</v>
      </c>
      <c r="C122" s="562">
        <v>2200</v>
      </c>
      <c r="D122" s="562">
        <v>6200</v>
      </c>
      <c r="E122" s="563">
        <f>SUMIFS('Accounting data'!$G$2:$G$37000,'Accounting data'!$H$2:$H$37000,"9999*",'Accounting data'!$J$2:$J$37000,"22*",'Accounting data'!$K$2:$K$37000,"62*")</f>
        <v>0</v>
      </c>
    </row>
    <row r="123" spans="1:5" x14ac:dyDescent="0.2">
      <c r="A123" s="562" t="s">
        <v>1005</v>
      </c>
      <c r="B123" s="562" t="s">
        <v>1007</v>
      </c>
      <c r="C123" s="562">
        <v>2200</v>
      </c>
      <c r="D123" s="562">
        <v>6200</v>
      </c>
      <c r="E123" s="563">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4" t="s">
        <v>1006</v>
      </c>
      <c r="B124" s="562" t="s">
        <v>1007</v>
      </c>
      <c r="C124" s="562">
        <v>2200</v>
      </c>
      <c r="D124" s="562">
        <v>6200</v>
      </c>
      <c r="E124" s="563">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2"/>
      <c r="B125" s="562"/>
      <c r="C125" s="562"/>
      <c r="D125" s="562"/>
      <c r="E125" s="563"/>
    </row>
    <row r="126" spans="1:5" x14ac:dyDescent="0.2">
      <c r="A126" s="562"/>
      <c r="B126" s="562"/>
      <c r="C126" s="562"/>
      <c r="D126" s="562"/>
      <c r="E126" s="563"/>
    </row>
    <row r="127" spans="1:5" ht="15" x14ac:dyDescent="0.25">
      <c r="A127" s="565" t="s">
        <v>1025</v>
      </c>
      <c r="B127" s="565"/>
      <c r="C127" s="565"/>
      <c r="D127" s="565"/>
      <c r="E127" s="566">
        <f>(E121-E122-E123)+(E124+E125+E126)</f>
        <v>386220</v>
      </c>
    </row>
    <row r="128" spans="1:5" x14ac:dyDescent="0.2">
      <c r="A128" s="562" t="s">
        <v>1005</v>
      </c>
      <c r="B128" s="562" t="s">
        <v>1005</v>
      </c>
      <c r="C128" s="562">
        <v>2300</v>
      </c>
      <c r="D128" s="562">
        <v>6200</v>
      </c>
      <c r="E128" s="563">
        <f>SUMIFS('Accounting data'!$G$2:$G$37000,'Accounting data'!$J$2:$J$37000,"23*",'Accounting data'!$K$2:$K$37000,"62*")</f>
        <v>81981</v>
      </c>
    </row>
    <row r="129" spans="1:5" x14ac:dyDescent="0.2">
      <c r="A129" s="562" t="s">
        <v>1006</v>
      </c>
      <c r="B129" s="562" t="s">
        <v>1005</v>
      </c>
      <c r="C129" s="562">
        <v>2300</v>
      </c>
      <c r="D129" s="562">
        <v>6200</v>
      </c>
      <c r="E129" s="563">
        <f>SUMIFS('Accounting data'!$G$2:$G$37000,'Accounting data'!$H$2:$H$37000,"9999*",'Accounting data'!$J$2:$J$37000,"23*",'Accounting data'!$K$2:$K$37000,"62*")</f>
        <v>0</v>
      </c>
    </row>
    <row r="130" spans="1:5" x14ac:dyDescent="0.2">
      <c r="A130" s="562" t="s">
        <v>1005</v>
      </c>
      <c r="B130" s="562" t="s">
        <v>1007</v>
      </c>
      <c r="C130" s="562">
        <v>2300</v>
      </c>
      <c r="D130" s="562">
        <v>6200</v>
      </c>
      <c r="E130" s="563">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4" t="s">
        <v>1006</v>
      </c>
      <c r="B131" s="562" t="s">
        <v>1007</v>
      </c>
      <c r="C131" s="562">
        <v>2300</v>
      </c>
      <c r="D131" s="562">
        <v>6200</v>
      </c>
      <c r="E131" s="563">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2"/>
      <c r="B132" s="562"/>
      <c r="C132" s="562"/>
      <c r="D132" s="562"/>
      <c r="E132" s="563"/>
    </row>
    <row r="133" spans="1:5" x14ac:dyDescent="0.2">
      <c r="A133" s="562"/>
      <c r="B133" s="562"/>
      <c r="C133" s="562"/>
      <c r="D133" s="562"/>
      <c r="E133" s="563"/>
    </row>
    <row r="134" spans="1:5" ht="15" x14ac:dyDescent="0.25">
      <c r="A134" s="565" t="s">
        <v>1026</v>
      </c>
      <c r="B134" s="565"/>
      <c r="C134" s="565"/>
      <c r="D134" s="565"/>
      <c r="E134" s="566">
        <f>(E128-E129-E130)+(E131+E132+E133)</f>
        <v>81981</v>
      </c>
    </row>
    <row r="135" spans="1:5" x14ac:dyDescent="0.2">
      <c r="A135" s="562" t="s">
        <v>1005</v>
      </c>
      <c r="B135" s="562" t="s">
        <v>1005</v>
      </c>
      <c r="C135" s="562">
        <v>2400</v>
      </c>
      <c r="D135" s="562">
        <v>6200</v>
      </c>
      <c r="E135" s="563">
        <f>SUMIFS('Accounting data'!$G$2:$G$37000,'Accounting data'!$J$2:$J$37000,"24*",'Accounting data'!$K$2:$K$37000,"62*")</f>
        <v>254229</v>
      </c>
    </row>
    <row r="136" spans="1:5" x14ac:dyDescent="0.2">
      <c r="A136" s="562" t="s">
        <v>1006</v>
      </c>
      <c r="B136" s="562" t="s">
        <v>1005</v>
      </c>
      <c r="C136" s="562">
        <v>2400</v>
      </c>
      <c r="D136" s="562">
        <v>6200</v>
      </c>
      <c r="E136" s="563">
        <f>SUMIFS('Accounting data'!$G$2:$G$37000,'Accounting data'!$H$2:$H$37000,"9999*",'Accounting data'!$J$2:$J$37000,"24*",'Accounting data'!$K$2:$K$37000,"62*")</f>
        <v>0</v>
      </c>
    </row>
    <row r="137" spans="1:5" x14ac:dyDescent="0.2">
      <c r="A137" s="562" t="s">
        <v>1005</v>
      </c>
      <c r="B137" s="562" t="s">
        <v>1007</v>
      </c>
      <c r="C137" s="562">
        <v>2400</v>
      </c>
      <c r="D137" s="562">
        <v>6200</v>
      </c>
      <c r="E137" s="563">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4" t="s">
        <v>1006</v>
      </c>
      <c r="B138" s="562" t="s">
        <v>1007</v>
      </c>
      <c r="C138" s="562">
        <v>2400</v>
      </c>
      <c r="D138" s="562">
        <v>6200</v>
      </c>
      <c r="E138" s="563">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2"/>
      <c r="B139" s="562"/>
      <c r="C139" s="562"/>
      <c r="D139" s="562"/>
      <c r="E139" s="563"/>
    </row>
    <row r="140" spans="1:5" x14ac:dyDescent="0.2">
      <c r="A140" s="562"/>
      <c r="B140" s="562"/>
      <c r="C140" s="562"/>
      <c r="D140" s="562"/>
      <c r="E140" s="563"/>
    </row>
    <row r="141" spans="1:5" ht="15" x14ac:dyDescent="0.25">
      <c r="A141" s="565" t="s">
        <v>1027</v>
      </c>
      <c r="B141" s="565"/>
      <c r="C141" s="565"/>
      <c r="D141" s="565"/>
      <c r="E141" s="566">
        <f>(E135-E136-E137)+(E138+E139+E140)</f>
        <v>254229</v>
      </c>
    </row>
    <row r="142" spans="1:5" x14ac:dyDescent="0.2">
      <c r="A142" s="562" t="s">
        <v>1005</v>
      </c>
      <c r="B142" s="562" t="s">
        <v>1005</v>
      </c>
      <c r="C142" s="562">
        <v>2500</v>
      </c>
      <c r="D142" s="562">
        <v>6200</v>
      </c>
      <c r="E142" s="563">
        <f>SUMIFS('Accounting data'!$G$2:$G$37000,'Accounting data'!$J$2:$J$37000,"25*",'Accounting data'!$K$2:$K$37000,"62*")</f>
        <v>2918111</v>
      </c>
    </row>
    <row r="143" spans="1:5" x14ac:dyDescent="0.2">
      <c r="A143" s="562" t="s">
        <v>1006</v>
      </c>
      <c r="B143" s="562" t="s">
        <v>1005</v>
      </c>
      <c r="C143" s="562">
        <v>2500</v>
      </c>
      <c r="D143" s="562">
        <v>6200</v>
      </c>
      <c r="E143" s="563">
        <f>SUMIFS('Accounting data'!$G$2:$G$37000,'Accounting data'!$H$2:$H$37000,"9999*",'Accounting data'!$J$2:$J$37000,"25*",'Accounting data'!$K$2:$K$37000,"62*")</f>
        <v>0</v>
      </c>
    </row>
    <row r="144" spans="1:5" x14ac:dyDescent="0.2">
      <c r="A144" s="562" t="s">
        <v>1005</v>
      </c>
      <c r="B144" s="562" t="s">
        <v>1007</v>
      </c>
      <c r="C144" s="562">
        <v>2500</v>
      </c>
      <c r="D144" s="562">
        <v>6200</v>
      </c>
      <c r="E144" s="563">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4" t="s">
        <v>1006</v>
      </c>
      <c r="B145" s="562" t="s">
        <v>1007</v>
      </c>
      <c r="C145" s="562">
        <v>2500</v>
      </c>
      <c r="D145" s="562">
        <v>6200</v>
      </c>
      <c r="E145" s="563">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2"/>
      <c r="B146" s="562"/>
      <c r="C146" s="562"/>
      <c r="D146" s="562"/>
      <c r="E146" s="563"/>
    </row>
    <row r="147" spans="1:5" x14ac:dyDescent="0.2">
      <c r="A147" s="562"/>
      <c r="B147" s="562"/>
      <c r="C147" s="562"/>
      <c r="D147" s="562"/>
      <c r="E147" s="563"/>
    </row>
    <row r="148" spans="1:5" ht="15" x14ac:dyDescent="0.25">
      <c r="A148" s="565" t="s">
        <v>1028</v>
      </c>
      <c r="B148" s="565"/>
      <c r="C148" s="565"/>
      <c r="D148" s="565"/>
      <c r="E148" s="566">
        <f>(E142-E143-E144)+(E145+E146+E147)</f>
        <v>2918111</v>
      </c>
    </row>
    <row r="149" spans="1:5" x14ac:dyDescent="0.2">
      <c r="A149" s="562" t="s">
        <v>1005</v>
      </c>
      <c r="B149" s="562" t="s">
        <v>1005</v>
      </c>
      <c r="C149" s="562">
        <v>2900</v>
      </c>
      <c r="D149" s="562">
        <v>6200</v>
      </c>
      <c r="E149" s="563">
        <f>SUMIFS('Accounting data'!$G$2:$G$37000,'Accounting data'!$J$2:$J$37000,"29*",'Accounting data'!$K$2:$K$37000,"62*")</f>
        <v>0</v>
      </c>
    </row>
    <row r="150" spans="1:5" x14ac:dyDescent="0.2">
      <c r="A150" s="562" t="s">
        <v>1006</v>
      </c>
      <c r="B150" s="562" t="s">
        <v>1005</v>
      </c>
      <c r="C150" s="562">
        <v>2900</v>
      </c>
      <c r="D150" s="562">
        <v>6200</v>
      </c>
      <c r="E150" s="563">
        <f>SUMIFS('Accounting data'!$G$2:$G$37000,'Accounting data'!$H$2:$H$37000,"9999*",'Accounting data'!$J$2:$J$37000,"29*",'Accounting data'!$K$2:$K$37000,"62*")</f>
        <v>0</v>
      </c>
    </row>
    <row r="151" spans="1:5" x14ac:dyDescent="0.2">
      <c r="A151" s="562" t="s">
        <v>1005</v>
      </c>
      <c r="B151" s="562" t="s">
        <v>1007</v>
      </c>
      <c r="C151" s="562">
        <v>2900</v>
      </c>
      <c r="D151" s="562">
        <v>6200</v>
      </c>
      <c r="E151" s="563">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4" t="s">
        <v>1006</v>
      </c>
      <c r="B152" s="562" t="s">
        <v>1007</v>
      </c>
      <c r="C152" s="562">
        <v>2900</v>
      </c>
      <c r="D152" s="562">
        <v>6200</v>
      </c>
      <c r="E152" s="563">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2"/>
      <c r="B153" s="562"/>
      <c r="C153" s="562"/>
      <c r="D153" s="562"/>
      <c r="E153" s="563"/>
    </row>
    <row r="154" spans="1:5" x14ac:dyDescent="0.2">
      <c r="A154" s="562"/>
      <c r="B154" s="562"/>
      <c r="C154" s="562"/>
      <c r="D154" s="562"/>
      <c r="E154" s="563"/>
    </row>
    <row r="155" spans="1:5" ht="15" x14ac:dyDescent="0.25">
      <c r="A155" s="565" t="s">
        <v>1029</v>
      </c>
      <c r="B155" s="565"/>
      <c r="C155" s="565"/>
      <c r="D155" s="565"/>
      <c r="E155" s="566">
        <f>(E149-E150-E151)+(E152+E153+E154)</f>
        <v>0</v>
      </c>
    </row>
    <row r="156" spans="1:5" x14ac:dyDescent="0.2">
      <c r="A156" s="562" t="s">
        <v>1005</v>
      </c>
      <c r="B156" s="562" t="s">
        <v>1005</v>
      </c>
      <c r="C156" s="562">
        <v>2600</v>
      </c>
      <c r="D156" s="562">
        <v>6200</v>
      </c>
      <c r="E156" s="563">
        <f>SUMIFS('Accounting data'!$G$2:$G$37000,'Accounting data'!$J$2:$J$37000,"26*",'Accounting data'!$K$2:$K$37000,"62*")</f>
        <v>26115</v>
      </c>
    </row>
    <row r="157" spans="1:5" x14ac:dyDescent="0.2">
      <c r="A157" s="562" t="s">
        <v>1006</v>
      </c>
      <c r="B157" s="562" t="s">
        <v>1005</v>
      </c>
      <c r="C157" s="562">
        <v>2600</v>
      </c>
      <c r="D157" s="562">
        <v>6200</v>
      </c>
      <c r="E157" s="563">
        <f>SUMIFS('Accounting data'!$G$2:$G$37000,'Accounting data'!$H$2:$H$37000,"9999*",'Accounting data'!$J$2:$J$37000,"26*",'Accounting data'!$K$2:$K$37000,"62*")</f>
        <v>0</v>
      </c>
    </row>
    <row r="158" spans="1:5" x14ac:dyDescent="0.2">
      <c r="A158" s="562" t="s">
        <v>1005</v>
      </c>
      <c r="B158" s="562" t="s">
        <v>1007</v>
      </c>
      <c r="C158" s="562">
        <v>2600</v>
      </c>
      <c r="D158" s="562">
        <v>6200</v>
      </c>
      <c r="E158" s="563">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4" t="s">
        <v>1006</v>
      </c>
      <c r="B159" s="562" t="s">
        <v>1007</v>
      </c>
      <c r="C159" s="562">
        <v>2600</v>
      </c>
      <c r="D159" s="562">
        <v>6200</v>
      </c>
      <c r="E159" s="563">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2"/>
      <c r="B160" s="562"/>
      <c r="C160" s="562"/>
      <c r="D160" s="562"/>
      <c r="E160" s="563"/>
    </row>
    <row r="161" spans="1:5" x14ac:dyDescent="0.2">
      <c r="A161" s="562"/>
      <c r="B161" s="562"/>
      <c r="C161" s="562"/>
      <c r="D161" s="562"/>
      <c r="E161" s="563"/>
    </row>
    <row r="162" spans="1:5" ht="15" x14ac:dyDescent="0.25">
      <c r="A162" s="565" t="s">
        <v>1030</v>
      </c>
      <c r="B162" s="565"/>
      <c r="C162" s="565"/>
      <c r="D162" s="565"/>
      <c r="E162" s="566">
        <f>(E156-E157-E158)+(E159+E160+E161)</f>
        <v>26115</v>
      </c>
    </row>
    <row r="163" spans="1:5" x14ac:dyDescent="0.2">
      <c r="A163" s="562" t="s">
        <v>1005</v>
      </c>
      <c r="B163" s="562" t="s">
        <v>1005</v>
      </c>
      <c r="C163" s="562">
        <v>2700</v>
      </c>
      <c r="D163" s="562">
        <v>6200</v>
      </c>
      <c r="E163" s="563">
        <f>SUMIFS('Accounting data'!$G$2:$G$37000,'Accounting data'!$J$2:$J$37000,"27*",'Accounting data'!$K$2:$K$37000,"62*")</f>
        <v>3971</v>
      </c>
    </row>
    <row r="164" spans="1:5" x14ac:dyDescent="0.2">
      <c r="A164" s="562" t="s">
        <v>1006</v>
      </c>
      <c r="B164" s="562" t="s">
        <v>1005</v>
      </c>
      <c r="C164" s="562">
        <v>2700</v>
      </c>
      <c r="D164" s="562">
        <v>6200</v>
      </c>
      <c r="E164" s="563">
        <f>SUMIFS('Accounting data'!$G$2:$G$37000,'Accounting data'!$H$2:$H$37000,"9999*",'Accounting data'!$J$2:$J$37000,"27*",'Accounting data'!$K$2:$K$37000,"62*")</f>
        <v>0</v>
      </c>
    </row>
    <row r="165" spans="1:5" x14ac:dyDescent="0.2">
      <c r="A165" s="562" t="s">
        <v>1005</v>
      </c>
      <c r="B165" s="562" t="s">
        <v>1007</v>
      </c>
      <c r="C165" s="562">
        <v>2700</v>
      </c>
      <c r="D165" s="562">
        <v>6200</v>
      </c>
      <c r="E165" s="563">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4" t="s">
        <v>1006</v>
      </c>
      <c r="B166" s="562" t="s">
        <v>1007</v>
      </c>
      <c r="C166" s="562">
        <v>2700</v>
      </c>
      <c r="D166" s="562">
        <v>6200</v>
      </c>
      <c r="E166" s="563">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2"/>
      <c r="B167" s="562"/>
      <c r="C167" s="562"/>
      <c r="D167" s="562"/>
      <c r="E167" s="563"/>
    </row>
    <row r="168" spans="1:5" x14ac:dyDescent="0.2">
      <c r="A168" s="562"/>
      <c r="B168" s="562"/>
      <c r="C168" s="562"/>
      <c r="D168" s="562"/>
      <c r="E168" s="563"/>
    </row>
    <row r="169" spans="1:5" ht="15" x14ac:dyDescent="0.25">
      <c r="A169" s="565" t="s">
        <v>1031</v>
      </c>
      <c r="B169" s="565"/>
      <c r="C169" s="565"/>
      <c r="D169" s="565"/>
      <c r="E169" s="566">
        <f>(E163-E164-E165)+(E166+E167+E168)</f>
        <v>3971</v>
      </c>
    </row>
    <row r="170" spans="1:5" x14ac:dyDescent="0.2">
      <c r="A170" s="562" t="s">
        <v>1005</v>
      </c>
      <c r="B170" s="562" t="s">
        <v>1005</v>
      </c>
      <c r="C170" s="562">
        <v>3100</v>
      </c>
      <c r="D170" s="562">
        <v>6200</v>
      </c>
      <c r="E170" s="563">
        <f>SUMIFS('Accounting data'!$G$2:$G$37000,'Accounting data'!$J$2:$J$37000,"31*",'Accounting data'!$K$2:$K$37000,"62*")</f>
        <v>2131</v>
      </c>
    </row>
    <row r="171" spans="1:5" x14ac:dyDescent="0.2">
      <c r="A171" s="562" t="s">
        <v>1006</v>
      </c>
      <c r="B171" s="562" t="s">
        <v>1005</v>
      </c>
      <c r="C171" s="562">
        <v>3100</v>
      </c>
      <c r="D171" s="562">
        <v>6200</v>
      </c>
      <c r="E171" s="563">
        <f>SUMIFS('Accounting data'!$G$2:$G$37000,'Accounting data'!$H$2:$H$37000,"9999*",'Accounting data'!$J$2:$J$37000,"31*",'Accounting data'!$K$2:$K$37000,"62*")</f>
        <v>0</v>
      </c>
    </row>
    <row r="172" spans="1:5" x14ac:dyDescent="0.2">
      <c r="A172" s="562" t="s">
        <v>1005</v>
      </c>
      <c r="B172" s="562" t="s">
        <v>1007</v>
      </c>
      <c r="C172" s="562">
        <v>3100</v>
      </c>
      <c r="D172" s="562">
        <v>6200</v>
      </c>
      <c r="E172" s="563">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4" t="s">
        <v>1006</v>
      </c>
      <c r="B173" s="562" t="s">
        <v>1007</v>
      </c>
      <c r="C173" s="562">
        <v>3100</v>
      </c>
      <c r="D173" s="562">
        <v>6200</v>
      </c>
      <c r="E173" s="563">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2"/>
      <c r="B174" s="562"/>
      <c r="C174" s="562"/>
      <c r="D174" s="562"/>
      <c r="E174" s="563"/>
    </row>
    <row r="175" spans="1:5" x14ac:dyDescent="0.2">
      <c r="A175" s="562"/>
      <c r="B175" s="562"/>
      <c r="C175" s="562"/>
      <c r="D175" s="562"/>
      <c r="E175" s="563"/>
    </row>
    <row r="176" spans="1:5" ht="15" x14ac:dyDescent="0.25">
      <c r="A176" s="565" t="s">
        <v>1032</v>
      </c>
      <c r="B176" s="565"/>
      <c r="C176" s="565"/>
      <c r="D176" s="565"/>
      <c r="E176" s="566">
        <f>(E170-E171-E172)+(E173+E174+E175)</f>
        <v>2131</v>
      </c>
    </row>
    <row r="177" spans="1:5" x14ac:dyDescent="0.2">
      <c r="A177" s="562"/>
      <c r="B177" s="562"/>
      <c r="C177" s="562"/>
      <c r="D177" s="562"/>
      <c r="E177" s="563"/>
    </row>
    <row r="178" spans="1:5" x14ac:dyDescent="0.2">
      <c r="A178" s="562"/>
      <c r="B178" s="562"/>
      <c r="C178" s="562"/>
      <c r="D178" s="562"/>
      <c r="E178" s="563"/>
    </row>
    <row r="179" spans="1:5" x14ac:dyDescent="0.2">
      <c r="A179" s="562"/>
      <c r="B179" s="562"/>
      <c r="C179" s="562"/>
      <c r="D179" s="562"/>
      <c r="E179" s="563"/>
    </row>
    <row r="180" spans="1:5" x14ac:dyDescent="0.2">
      <c r="A180" s="564"/>
      <c r="B180" s="562"/>
      <c r="C180" s="562"/>
      <c r="D180" s="562"/>
      <c r="E180" s="563"/>
    </row>
    <row r="181" spans="1:5" x14ac:dyDescent="0.2">
      <c r="A181" s="562"/>
      <c r="B181" s="562"/>
      <c r="C181" s="562"/>
      <c r="D181" s="562"/>
      <c r="E181" s="563"/>
    </row>
    <row r="182" spans="1:5" x14ac:dyDescent="0.2">
      <c r="A182" s="562"/>
      <c r="B182" s="562"/>
      <c r="C182" s="562"/>
      <c r="D182" s="562"/>
      <c r="E182" s="563"/>
    </row>
    <row r="183" spans="1:5" ht="15" x14ac:dyDescent="0.25">
      <c r="A183" s="565"/>
      <c r="B183" s="565"/>
      <c r="C183" s="565"/>
      <c r="D183" s="565"/>
      <c r="E183" s="566"/>
    </row>
    <row r="184" spans="1:5" x14ac:dyDescent="0.2">
      <c r="A184" s="562" t="s">
        <v>1005</v>
      </c>
      <c r="B184" s="562" t="s">
        <v>1005</v>
      </c>
      <c r="C184" s="562">
        <v>3400</v>
      </c>
      <c r="D184" s="562">
        <v>6200</v>
      </c>
      <c r="E184" s="563">
        <f>SUMIFS('Accounting data'!$G$2:$G$37000,'Accounting data'!$J$2:$J$37000,"34*",'Accounting data'!$K$2:$K$37000,"62*")</f>
        <v>0</v>
      </c>
    </row>
    <row r="185" spans="1:5" x14ac:dyDescent="0.2">
      <c r="A185" s="562" t="s">
        <v>1006</v>
      </c>
      <c r="B185" s="562" t="s">
        <v>1005</v>
      </c>
      <c r="C185" s="562">
        <v>3400</v>
      </c>
      <c r="D185" s="562">
        <v>6200</v>
      </c>
      <c r="E185" s="563">
        <f>SUMIFS('Accounting data'!$G$2:$G$37000,'Accounting data'!$H$2:$H$37000,"9999*",'Accounting data'!$J$2:$J$37000,"34*",'Accounting data'!$K$2:$K$37000,"62*")</f>
        <v>0</v>
      </c>
    </row>
    <row r="186" spans="1:5" x14ac:dyDescent="0.2">
      <c r="A186" s="562" t="s">
        <v>1005</v>
      </c>
      <c r="B186" s="562" t="s">
        <v>1007</v>
      </c>
      <c r="C186" s="562">
        <v>3400</v>
      </c>
      <c r="D186" s="562">
        <v>6200</v>
      </c>
      <c r="E186" s="563">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4" t="s">
        <v>1006</v>
      </c>
      <c r="B187" s="562" t="s">
        <v>1007</v>
      </c>
      <c r="C187" s="562">
        <v>3400</v>
      </c>
      <c r="D187" s="562">
        <v>6200</v>
      </c>
      <c r="E187" s="563">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2"/>
      <c r="B188" s="562"/>
      <c r="C188" s="562"/>
      <c r="D188" s="562"/>
      <c r="E188" s="563"/>
    </row>
    <row r="189" spans="1:5" x14ac:dyDescent="0.2">
      <c r="A189" s="562"/>
      <c r="B189" s="562"/>
      <c r="C189" s="562"/>
      <c r="D189" s="562"/>
      <c r="E189" s="563"/>
    </row>
    <row r="190" spans="1:5" ht="15" x14ac:dyDescent="0.25">
      <c r="A190" s="565" t="s">
        <v>1033</v>
      </c>
      <c r="B190" s="565"/>
      <c r="C190" s="565"/>
      <c r="D190" s="565"/>
      <c r="E190" s="566">
        <f>(E184-E185-E186)+(E187+E188+E189)</f>
        <v>0</v>
      </c>
    </row>
    <row r="191" spans="1:5" x14ac:dyDescent="0.2">
      <c r="A191" s="562" t="s">
        <v>1005</v>
      </c>
      <c r="B191" s="562" t="s">
        <v>1005</v>
      </c>
      <c r="C191" s="562">
        <v>4000</v>
      </c>
      <c r="D191" s="562">
        <v>6200</v>
      </c>
      <c r="E191" s="563">
        <f>SUMIFS('Accounting data'!$G$2:$G$37000,'Accounting data'!$J$2:$J$37000,"4*",'Accounting data'!$K$2:$K$37000,"62*")</f>
        <v>0</v>
      </c>
    </row>
    <row r="192" spans="1:5" x14ac:dyDescent="0.2">
      <c r="A192" s="562" t="s">
        <v>1006</v>
      </c>
      <c r="B192" s="562" t="s">
        <v>1005</v>
      </c>
      <c r="C192" s="562">
        <v>4000</v>
      </c>
      <c r="D192" s="562">
        <v>6200</v>
      </c>
      <c r="E192" s="563">
        <f>SUMIFS('Accounting data'!$G$2:$G$37000,'Accounting data'!$H$2:$H$37000,"9999*",'Accounting data'!$J$2:$J$37000,"4*",'Accounting data'!$K$2:$K$37000,"62*")</f>
        <v>0</v>
      </c>
    </row>
    <row r="193" spans="1:5" x14ac:dyDescent="0.2">
      <c r="A193" s="562" t="s">
        <v>1005</v>
      </c>
      <c r="B193" s="562" t="s">
        <v>1007</v>
      </c>
      <c r="C193" s="562">
        <v>4000</v>
      </c>
      <c r="D193" s="562">
        <v>6200</v>
      </c>
      <c r="E193" s="563">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4" t="s">
        <v>1006</v>
      </c>
      <c r="B194" s="562" t="s">
        <v>1007</v>
      </c>
      <c r="C194" s="562">
        <v>4000</v>
      </c>
      <c r="D194" s="562">
        <v>6200</v>
      </c>
      <c r="E194" s="563">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2"/>
      <c r="B195" s="562"/>
      <c r="C195" s="562"/>
      <c r="D195" s="562"/>
      <c r="E195" s="563"/>
    </row>
    <row r="196" spans="1:5" x14ac:dyDescent="0.2">
      <c r="A196" s="562"/>
      <c r="B196" s="562"/>
      <c r="C196" s="562"/>
      <c r="D196" s="562"/>
      <c r="E196" s="563"/>
    </row>
    <row r="197" spans="1:5" ht="15" x14ac:dyDescent="0.25">
      <c r="A197" s="565" t="s">
        <v>1034</v>
      </c>
      <c r="B197" s="565"/>
      <c r="C197" s="565"/>
      <c r="D197" s="565"/>
      <c r="E197" s="566">
        <f>(E191-E192-E193)+(E194+E195+E196)</f>
        <v>0</v>
      </c>
    </row>
    <row r="198" spans="1:5" ht="15" x14ac:dyDescent="0.25">
      <c r="A198" s="568" t="s">
        <v>1035</v>
      </c>
      <c r="B198" s="568"/>
      <c r="C198" s="568"/>
      <c r="D198" s="568"/>
      <c r="E198" s="569">
        <f>E113+E120+E127+E134+E141+E148+E155+E162+E169+E176+E183+E190</f>
        <v>7397101</v>
      </c>
    </row>
    <row r="199" spans="1:5" ht="15" x14ac:dyDescent="0.25">
      <c r="A199" s="562" t="s">
        <v>1021</v>
      </c>
      <c r="B199" s="562" t="s">
        <v>1005</v>
      </c>
      <c r="C199" s="562">
        <v>1000</v>
      </c>
      <c r="D199" s="562">
        <v>6200</v>
      </c>
      <c r="E199" s="570">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487176</v>
      </c>
    </row>
    <row r="200" spans="1:5" ht="15" x14ac:dyDescent="0.25">
      <c r="A200" s="562" t="s">
        <v>1021</v>
      </c>
      <c r="B200" s="562" t="s">
        <v>1005</v>
      </c>
      <c r="C200" s="562">
        <v>2000</v>
      </c>
      <c r="D200" s="562">
        <v>6200</v>
      </c>
      <c r="E200" s="570">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640668</v>
      </c>
    </row>
    <row r="201" spans="1:5" ht="15" x14ac:dyDescent="0.25">
      <c r="A201" s="562" t="s">
        <v>1021</v>
      </c>
      <c r="B201" s="562" t="s">
        <v>1005</v>
      </c>
      <c r="C201" s="562">
        <v>3000</v>
      </c>
      <c r="D201" s="562">
        <v>6200</v>
      </c>
      <c r="E201" s="570">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2" t="s">
        <v>1021</v>
      </c>
      <c r="B202" s="564">
        <v>700</v>
      </c>
      <c r="C202" s="562">
        <v>1000</v>
      </c>
      <c r="D202" s="562">
        <v>6200</v>
      </c>
      <c r="E202" s="570">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2" t="s">
        <v>1021</v>
      </c>
      <c r="B203" s="564">
        <v>800</v>
      </c>
      <c r="C203" s="562">
        <v>1000</v>
      </c>
      <c r="D203" s="562">
        <v>6200</v>
      </c>
      <c r="E203" s="570">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2" t="s">
        <v>1021</v>
      </c>
      <c r="B204" s="564">
        <v>900</v>
      </c>
      <c r="C204" s="562">
        <v>1000</v>
      </c>
      <c r="D204" s="562">
        <v>6200</v>
      </c>
      <c r="E204" s="570">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2" t="s">
        <v>1021</v>
      </c>
      <c r="B205" s="564">
        <v>700</v>
      </c>
      <c r="C205" s="562">
        <v>2000</v>
      </c>
      <c r="D205" s="562">
        <v>6200</v>
      </c>
      <c r="E205" s="570">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2" t="s">
        <v>1021</v>
      </c>
      <c r="B206" s="564">
        <v>800</v>
      </c>
      <c r="C206" s="562">
        <v>2000</v>
      </c>
      <c r="D206" s="562">
        <v>6200</v>
      </c>
      <c r="E206" s="570">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2" t="s">
        <v>1021</v>
      </c>
      <c r="B207" s="564">
        <v>900</v>
      </c>
      <c r="C207" s="562">
        <v>2000</v>
      </c>
      <c r="D207" s="562">
        <v>6200</v>
      </c>
      <c r="E207" s="570">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2" t="s">
        <v>1021</v>
      </c>
      <c r="B208" s="564">
        <v>700</v>
      </c>
      <c r="C208" s="562">
        <v>3000</v>
      </c>
      <c r="D208" s="562">
        <v>6200</v>
      </c>
      <c r="E208" s="570">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2" t="s">
        <v>1021</v>
      </c>
      <c r="B209" s="564">
        <v>800</v>
      </c>
      <c r="C209" s="562">
        <v>3000</v>
      </c>
      <c r="D209" s="562">
        <v>6200</v>
      </c>
      <c r="E209" s="570">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2" t="s">
        <v>1021</v>
      </c>
      <c r="B210" s="564">
        <v>900</v>
      </c>
      <c r="C210" s="562">
        <v>3000</v>
      </c>
      <c r="D210" s="562">
        <v>6200</v>
      </c>
      <c r="E210" s="570">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5" t="s">
        <v>1036</v>
      </c>
      <c r="B211" s="565"/>
      <c r="C211" s="565"/>
      <c r="D211" s="565"/>
      <c r="E211" s="566">
        <f>(E199+E200+E201)-(E202+E203+E204+E205+E206+E207+E208+E209+E210)</f>
        <v>1127844</v>
      </c>
    </row>
    <row r="212" spans="1:5" ht="15" x14ac:dyDescent="0.25">
      <c r="A212" s="562" t="s">
        <v>1005</v>
      </c>
      <c r="B212" s="562" t="s">
        <v>1005</v>
      </c>
      <c r="C212" s="562">
        <v>1000</v>
      </c>
      <c r="D212" s="571" t="s">
        <v>1037</v>
      </c>
      <c r="E212" s="570">
        <f>SUMIFS('Accounting data'!$G$2:$G$37000,'Accounting data'!$J$2:$J$37000,"1*",'Accounting data'!$K$2:$K$37000,"63*")+SUMIFS('Accounting data'!$G$2:$G$37000,'Accounting data'!$J$2:$J$37000,"1*",'Accounting data'!$K$2:$K$37000,"64*")+SUMIFS('Accounting data'!$G$2:$G$37000,'Accounting data'!$J$2:$J$37000,"1*",'Accounting data'!$K$2:$K$37000,"65*")</f>
        <v>351889</v>
      </c>
    </row>
    <row r="213" spans="1:5" ht="15" x14ac:dyDescent="0.25">
      <c r="A213" s="562" t="s">
        <v>1006</v>
      </c>
      <c r="B213" s="562" t="s">
        <v>1005</v>
      </c>
      <c r="C213" s="562">
        <v>1000</v>
      </c>
      <c r="D213" s="562">
        <v>6300</v>
      </c>
      <c r="E213" s="570">
        <f>SUMIFS('Accounting data'!$G$2:$G$37000,'Accounting data'!$H$2:$H$37000,"9999*",'Accounting data'!$J$2:$J$37000,"1*",'Accounting data'!$K$2:$K$37000,"63*")</f>
        <v>0</v>
      </c>
    </row>
    <row r="214" spans="1:5" ht="15" x14ac:dyDescent="0.25">
      <c r="A214" s="562" t="s">
        <v>1006</v>
      </c>
      <c r="B214" s="562" t="s">
        <v>1005</v>
      </c>
      <c r="C214" s="562">
        <v>1000</v>
      </c>
      <c r="D214" s="562">
        <v>6400</v>
      </c>
      <c r="E214" s="570">
        <f>SUMIFS('Accounting data'!$G$2:$G$37000,'Accounting data'!$H$2:$H$37000,"9999*",'Accounting data'!$J$2:$J$37000,"1*",'Accounting data'!$K$2:$K$37000,"64*")</f>
        <v>0</v>
      </c>
    </row>
    <row r="215" spans="1:5" ht="15" x14ac:dyDescent="0.25">
      <c r="A215" s="562" t="s">
        <v>1006</v>
      </c>
      <c r="B215" s="562" t="s">
        <v>1005</v>
      </c>
      <c r="C215" s="562">
        <v>1000</v>
      </c>
      <c r="D215" s="562">
        <v>6500</v>
      </c>
      <c r="E215" s="570">
        <f>SUMIFS('Accounting data'!$G$2:$G$37000,'Accounting data'!$H$2:$H$37000,"9999*",'Accounting data'!$J$2:$J$37000,"1*",'Accounting data'!$K$2:$K$37000,"65*")</f>
        <v>0</v>
      </c>
    </row>
    <row r="216" spans="1:5" ht="15" x14ac:dyDescent="0.25">
      <c r="A216" s="562" t="s">
        <v>1005</v>
      </c>
      <c r="B216" s="562" t="s">
        <v>1007</v>
      </c>
      <c r="C216" s="562">
        <v>1000</v>
      </c>
      <c r="D216" s="571" t="s">
        <v>1037</v>
      </c>
      <c r="E216" s="570">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4" t="s">
        <v>1006</v>
      </c>
      <c r="B217" s="562" t="s">
        <v>1007</v>
      </c>
      <c r="C217" s="562">
        <v>1000</v>
      </c>
      <c r="D217" s="562">
        <v>6300</v>
      </c>
      <c r="E217" s="570">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4" t="s">
        <v>1006</v>
      </c>
      <c r="B218" s="562" t="s">
        <v>1007</v>
      </c>
      <c r="C218" s="562">
        <v>1000</v>
      </c>
      <c r="D218" s="562">
        <v>6400</v>
      </c>
      <c r="E218" s="570">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4" t="s">
        <v>1006</v>
      </c>
      <c r="B219" s="562" t="s">
        <v>1007</v>
      </c>
      <c r="C219" s="562">
        <v>1000</v>
      </c>
      <c r="D219" s="562">
        <v>6500</v>
      </c>
      <c r="E219" s="570">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4"/>
      <c r="B220" s="562"/>
      <c r="C220" s="562"/>
      <c r="D220" s="562"/>
      <c r="E220" s="563"/>
    </row>
    <row r="221" spans="1:5" x14ac:dyDescent="0.2">
      <c r="A221" s="564"/>
      <c r="B221" s="562"/>
      <c r="C221" s="562"/>
      <c r="D221" s="562"/>
      <c r="E221" s="563"/>
    </row>
    <row r="222" spans="1:5" x14ac:dyDescent="0.2">
      <c r="A222" s="564"/>
      <c r="B222" s="562"/>
      <c r="C222" s="562"/>
      <c r="D222" s="562"/>
      <c r="E222" s="563"/>
    </row>
    <row r="223" spans="1:5" x14ac:dyDescent="0.2">
      <c r="A223" s="564"/>
      <c r="B223" s="562"/>
      <c r="C223" s="562"/>
      <c r="D223" s="562"/>
      <c r="E223" s="563"/>
    </row>
    <row r="224" spans="1:5" x14ac:dyDescent="0.2">
      <c r="A224" s="564"/>
      <c r="B224" s="562"/>
      <c r="C224" s="562"/>
      <c r="D224" s="562"/>
      <c r="E224" s="563"/>
    </row>
    <row r="225" spans="1:5" x14ac:dyDescent="0.2">
      <c r="A225" s="564"/>
      <c r="B225" s="562"/>
      <c r="C225" s="562"/>
      <c r="D225" s="562"/>
      <c r="E225" s="563"/>
    </row>
    <row r="226" spans="1:5" x14ac:dyDescent="0.2">
      <c r="A226" s="564"/>
      <c r="B226" s="562"/>
      <c r="C226" s="562"/>
      <c r="D226" s="562"/>
      <c r="E226" s="563"/>
    </row>
    <row r="227" spans="1:5" x14ac:dyDescent="0.2">
      <c r="A227" s="562"/>
      <c r="B227" s="562"/>
      <c r="C227" s="562"/>
      <c r="D227" s="562"/>
      <c r="E227" s="563"/>
    </row>
    <row r="228" spans="1:5" x14ac:dyDescent="0.2">
      <c r="A228" s="564"/>
      <c r="B228" s="562"/>
      <c r="C228" s="562"/>
      <c r="D228" s="562"/>
      <c r="E228" s="563"/>
    </row>
    <row r="229" spans="1:5" x14ac:dyDescent="0.2">
      <c r="A229" s="564"/>
      <c r="B229" s="562"/>
      <c r="C229" s="562"/>
      <c r="D229" s="562"/>
      <c r="E229" s="563"/>
    </row>
    <row r="230" spans="1:5" x14ac:dyDescent="0.2">
      <c r="A230" s="564"/>
      <c r="B230" s="562"/>
      <c r="C230" s="562"/>
      <c r="D230" s="562"/>
      <c r="E230" s="563"/>
    </row>
    <row r="231" spans="1:5" x14ac:dyDescent="0.2">
      <c r="A231" s="564"/>
      <c r="B231" s="562"/>
      <c r="C231" s="562"/>
      <c r="D231" s="562"/>
      <c r="E231" s="563"/>
    </row>
    <row r="232" spans="1:5" x14ac:dyDescent="0.2">
      <c r="A232" s="564"/>
      <c r="B232" s="562"/>
      <c r="C232" s="562"/>
      <c r="D232" s="562"/>
      <c r="E232" s="563"/>
    </row>
    <row r="233" spans="1:5" x14ac:dyDescent="0.2">
      <c r="A233" s="562"/>
      <c r="B233" s="562"/>
      <c r="C233" s="562"/>
      <c r="D233" s="562"/>
      <c r="E233" s="563"/>
    </row>
    <row r="234" spans="1:5" x14ac:dyDescent="0.2">
      <c r="A234" s="564"/>
      <c r="B234" s="562"/>
      <c r="C234" s="562"/>
      <c r="D234" s="562"/>
      <c r="E234" s="563"/>
    </row>
    <row r="235" spans="1:5" x14ac:dyDescent="0.2">
      <c r="A235" s="564"/>
      <c r="B235" s="562"/>
      <c r="C235" s="562"/>
      <c r="D235" s="562"/>
      <c r="E235" s="563"/>
    </row>
    <row r="236" spans="1:5" x14ac:dyDescent="0.2">
      <c r="A236" s="564"/>
      <c r="B236" s="562"/>
      <c r="C236" s="562"/>
      <c r="D236" s="562"/>
      <c r="E236" s="563"/>
    </row>
    <row r="237" spans="1:5" x14ac:dyDescent="0.2">
      <c r="A237" s="564"/>
      <c r="B237" s="562"/>
      <c r="C237" s="562"/>
      <c r="D237" s="562"/>
      <c r="E237" s="563"/>
    </row>
    <row r="238" spans="1:5" ht="15" x14ac:dyDescent="0.25">
      <c r="A238" s="565" t="s">
        <v>1038</v>
      </c>
      <c r="B238" s="565"/>
      <c r="C238" s="565"/>
      <c r="D238" s="565"/>
      <c r="E238" s="566">
        <f>((E212-E213-E214-E215-E216)+(E217+E218+E219+E220+E221+E222+E223+E224+E225))-((E226-E227-E228)+(E229+E230+E231))-((E232-E233-E234)+(E235+E236+E237))</f>
        <v>351889</v>
      </c>
    </row>
    <row r="239" spans="1:5" x14ac:dyDescent="0.2">
      <c r="A239" s="562" t="s">
        <v>1005</v>
      </c>
      <c r="B239" s="562" t="s">
        <v>1005</v>
      </c>
      <c r="C239" s="562">
        <v>2100</v>
      </c>
      <c r="D239" s="571" t="s">
        <v>1037</v>
      </c>
      <c r="E239" s="563">
        <f>SUMIFS('Accounting data'!$G$2:$G$37000,'Accounting data'!$J$2:$J$37000,"21*",'Accounting data'!$K$2:$K$37000,"63*")+SUMIFS('Accounting data'!$G$2:$G$37000,'Accounting data'!$J$2:$J$37000,"21*",'Accounting data'!$K$2:$K$37000,"64*")+SUMIFS('Accounting data'!$G$2:$G$37000,'Accounting data'!$J$2:$J$37000,"21*",'Accounting data'!$K$2:$K$37000,"65*")</f>
        <v>147504</v>
      </c>
    </row>
    <row r="240" spans="1:5" x14ac:dyDescent="0.2">
      <c r="A240" s="562" t="s">
        <v>1006</v>
      </c>
      <c r="B240" s="562" t="s">
        <v>1005</v>
      </c>
      <c r="C240" s="562">
        <v>2100</v>
      </c>
      <c r="D240" s="562">
        <v>6300</v>
      </c>
      <c r="E240" s="563">
        <f>SUMIFS('Accounting data'!$G$2:$G$37000,'Accounting data'!$H$2:$H$37000,"9999*",'Accounting data'!$J$2:$J$37000,"21*",'Accounting data'!$K$2:$K$37000,"63*")</f>
        <v>0</v>
      </c>
    </row>
    <row r="241" spans="1:5" x14ac:dyDescent="0.2">
      <c r="A241" s="562" t="s">
        <v>1006</v>
      </c>
      <c r="B241" s="562" t="s">
        <v>1005</v>
      </c>
      <c r="C241" s="562">
        <v>2100</v>
      </c>
      <c r="D241" s="562">
        <v>6400</v>
      </c>
      <c r="E241" s="563">
        <f>SUMIFS('Accounting data'!$G$2:$G$37000,'Accounting data'!$H$2:$H$37000,"9999*",'Accounting data'!$J$2:$J$37000,"21*",'Accounting data'!$K$2:$K$37000,"64*")</f>
        <v>0</v>
      </c>
    </row>
    <row r="242" spans="1:5" x14ac:dyDescent="0.2">
      <c r="A242" s="562" t="s">
        <v>1006</v>
      </c>
      <c r="B242" s="562" t="s">
        <v>1005</v>
      </c>
      <c r="C242" s="562">
        <v>2100</v>
      </c>
      <c r="D242" s="562">
        <v>6500</v>
      </c>
      <c r="E242" s="563">
        <f>SUMIFS('Accounting data'!$G$2:$G$37000,'Accounting data'!$H$2:$H$37000,"9999*",'Accounting data'!$J$2:$J$37000,"21*",'Accounting data'!$K$2:$K$37000,"65*")</f>
        <v>0</v>
      </c>
    </row>
    <row r="243" spans="1:5" x14ac:dyDescent="0.2">
      <c r="A243" s="562" t="s">
        <v>1005</v>
      </c>
      <c r="B243" s="562" t="s">
        <v>1007</v>
      </c>
      <c r="C243" s="562">
        <v>2100</v>
      </c>
      <c r="D243" s="571" t="s">
        <v>1037</v>
      </c>
      <c r="E243" s="563">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4" t="s">
        <v>1006</v>
      </c>
      <c r="B244" s="562" t="s">
        <v>1007</v>
      </c>
      <c r="C244" s="562">
        <v>2100</v>
      </c>
      <c r="D244" s="562">
        <v>6300</v>
      </c>
      <c r="E244" s="563">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4" t="s">
        <v>1006</v>
      </c>
      <c r="B245" s="562" t="s">
        <v>1007</v>
      </c>
      <c r="C245" s="562">
        <v>2100</v>
      </c>
      <c r="D245" s="562">
        <v>6400</v>
      </c>
      <c r="E245" s="563">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4" t="s">
        <v>1006</v>
      </c>
      <c r="B246" s="562" t="s">
        <v>1007</v>
      </c>
      <c r="C246" s="562">
        <v>2100</v>
      </c>
      <c r="D246" s="562">
        <v>6500</v>
      </c>
      <c r="E246" s="563">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4"/>
      <c r="B247" s="562"/>
      <c r="C247" s="562"/>
      <c r="D247" s="562"/>
      <c r="E247" s="563"/>
    </row>
    <row r="248" spans="1:5" x14ac:dyDescent="0.2">
      <c r="A248" s="564"/>
      <c r="B248" s="562"/>
      <c r="C248" s="562"/>
      <c r="D248" s="562"/>
      <c r="E248" s="563"/>
    </row>
    <row r="249" spans="1:5" x14ac:dyDescent="0.2">
      <c r="A249" s="564"/>
      <c r="B249" s="562"/>
      <c r="C249" s="562"/>
      <c r="D249" s="562"/>
      <c r="E249" s="563"/>
    </row>
    <row r="250" spans="1:5" x14ac:dyDescent="0.2">
      <c r="A250" s="564"/>
      <c r="B250" s="562"/>
      <c r="C250" s="562"/>
      <c r="D250" s="562"/>
      <c r="E250" s="563"/>
    </row>
    <row r="251" spans="1:5" x14ac:dyDescent="0.2">
      <c r="A251" s="564"/>
      <c r="B251" s="562"/>
      <c r="C251" s="562"/>
      <c r="D251" s="562"/>
      <c r="E251" s="563"/>
    </row>
    <row r="252" spans="1:5" x14ac:dyDescent="0.2">
      <c r="A252" s="564"/>
      <c r="B252" s="562"/>
      <c r="C252" s="562"/>
      <c r="D252" s="562"/>
      <c r="E252" s="563"/>
    </row>
    <row r="253" spans="1:5" x14ac:dyDescent="0.2">
      <c r="A253" s="564"/>
      <c r="B253" s="562"/>
      <c r="C253" s="562"/>
      <c r="D253" s="562"/>
      <c r="E253" s="563"/>
    </row>
    <row r="254" spans="1:5" x14ac:dyDescent="0.2">
      <c r="A254" s="562"/>
      <c r="B254" s="562"/>
      <c r="C254" s="562"/>
      <c r="D254" s="562"/>
      <c r="E254" s="563"/>
    </row>
    <row r="255" spans="1:5" x14ac:dyDescent="0.2">
      <c r="A255" s="564"/>
      <c r="B255" s="562"/>
      <c r="C255" s="562"/>
      <c r="D255" s="562"/>
      <c r="E255" s="563"/>
    </row>
    <row r="256" spans="1:5" x14ac:dyDescent="0.2">
      <c r="A256" s="564"/>
      <c r="B256" s="562"/>
      <c r="C256" s="562"/>
      <c r="D256" s="562"/>
      <c r="E256" s="563"/>
    </row>
    <row r="257" spans="1:5" x14ac:dyDescent="0.2">
      <c r="A257" s="564"/>
      <c r="B257" s="562"/>
      <c r="C257" s="562"/>
      <c r="D257" s="562"/>
      <c r="E257" s="563"/>
    </row>
    <row r="258" spans="1:5" x14ac:dyDescent="0.2">
      <c r="A258" s="564"/>
      <c r="B258" s="562"/>
      <c r="C258" s="562"/>
      <c r="D258" s="562"/>
      <c r="E258" s="563"/>
    </row>
    <row r="259" spans="1:5" x14ac:dyDescent="0.2">
      <c r="A259" s="564"/>
      <c r="B259" s="562"/>
      <c r="C259" s="562"/>
      <c r="D259" s="562"/>
      <c r="E259" s="563"/>
    </row>
    <row r="260" spans="1:5" x14ac:dyDescent="0.2">
      <c r="A260" s="562"/>
      <c r="B260" s="562"/>
      <c r="C260" s="562"/>
      <c r="D260" s="562"/>
      <c r="E260" s="563"/>
    </row>
    <row r="261" spans="1:5" x14ac:dyDescent="0.2">
      <c r="A261" s="564"/>
      <c r="B261" s="562"/>
      <c r="C261" s="562"/>
      <c r="D261" s="562"/>
      <c r="E261" s="563"/>
    </row>
    <row r="262" spans="1:5" x14ac:dyDescent="0.2">
      <c r="A262" s="564"/>
      <c r="B262" s="562"/>
      <c r="C262" s="562"/>
      <c r="D262" s="562"/>
      <c r="E262" s="563"/>
    </row>
    <row r="263" spans="1:5" x14ac:dyDescent="0.2">
      <c r="A263" s="564"/>
      <c r="B263" s="562"/>
      <c r="C263" s="562"/>
      <c r="D263" s="562"/>
      <c r="E263" s="563"/>
    </row>
    <row r="264" spans="1:5" x14ac:dyDescent="0.2">
      <c r="A264" s="564"/>
      <c r="B264" s="562"/>
      <c r="C264" s="562"/>
      <c r="D264" s="562"/>
      <c r="E264" s="563"/>
    </row>
    <row r="265" spans="1:5" x14ac:dyDescent="0.2">
      <c r="A265" s="565" t="s">
        <v>1039</v>
      </c>
      <c r="B265" s="565"/>
      <c r="C265" s="565"/>
      <c r="D265" s="565"/>
      <c r="E265" s="567">
        <f>((E239-E240-E241-E242-E243)+(E244+E245+E246+E247+E248+E249+E250+E251+E252))-((E253-E254-E255)+(E256+E257+E258))-((E259-E260-E261)+(E262+E263+E264))</f>
        <v>147504</v>
      </c>
    </row>
    <row r="266" spans="1:5" x14ac:dyDescent="0.2">
      <c r="A266" s="562" t="s">
        <v>1005</v>
      </c>
      <c r="B266" s="562" t="s">
        <v>1005</v>
      </c>
      <c r="C266" s="562">
        <v>2200</v>
      </c>
      <c r="D266" s="571" t="s">
        <v>1037</v>
      </c>
      <c r="E266" s="563">
        <f>SUMIFS('Accounting data'!$G$2:$G$37000,'Accounting data'!$J$2:$J$37000,"22*",'Accounting data'!$K$2:$K$37000,"63*")+SUMIFS('Accounting data'!$G$2:$G$37000,'Accounting data'!$J$2:$J$37000,"22*",'Accounting data'!$K$2:$K$37000,"64*")+SUMIFS('Accounting data'!$G$2:$G$37000,'Accounting data'!$J$2:$J$37000,"22*",'Accounting data'!$K$2:$K$37000,"65*")</f>
        <v>124338</v>
      </c>
    </row>
    <row r="267" spans="1:5" x14ac:dyDescent="0.2">
      <c r="A267" s="562" t="s">
        <v>1006</v>
      </c>
      <c r="B267" s="562" t="s">
        <v>1005</v>
      </c>
      <c r="C267" s="562">
        <v>2200</v>
      </c>
      <c r="D267" s="562">
        <v>6300</v>
      </c>
      <c r="E267" s="563">
        <f>SUMIFS('Accounting data'!$G$2:$G$37000,'Accounting data'!$H$2:$H$37000,"9999*",'Accounting data'!$J$2:$J$37000,"22*",'Accounting data'!$K$2:$K$37000,"63*")</f>
        <v>0</v>
      </c>
    </row>
    <row r="268" spans="1:5" x14ac:dyDescent="0.2">
      <c r="A268" s="562" t="s">
        <v>1006</v>
      </c>
      <c r="B268" s="562" t="s">
        <v>1005</v>
      </c>
      <c r="C268" s="562">
        <v>2200</v>
      </c>
      <c r="D268" s="562">
        <v>6400</v>
      </c>
      <c r="E268" s="563">
        <f>SUMIFS('Accounting data'!$G$2:$G$37000,'Accounting data'!$H$2:$H$37000,"9999*",'Accounting data'!$J$2:$J$37000,"22*",'Accounting data'!$K$2:$K$37000,"64*")</f>
        <v>0</v>
      </c>
    </row>
    <row r="269" spans="1:5" x14ac:dyDescent="0.2">
      <c r="A269" s="562" t="s">
        <v>1006</v>
      </c>
      <c r="B269" s="562" t="s">
        <v>1005</v>
      </c>
      <c r="C269" s="562">
        <v>2200</v>
      </c>
      <c r="D269" s="562">
        <v>6500</v>
      </c>
      <c r="E269" s="563">
        <f>SUMIFS('Accounting data'!$G$2:$G$37000,'Accounting data'!$H$2:$H$37000,"9999*",'Accounting data'!$J$2:$J$37000,"22*",'Accounting data'!$K$2:$K$37000,"65*")</f>
        <v>0</v>
      </c>
    </row>
    <row r="270" spans="1:5" x14ac:dyDescent="0.2">
      <c r="A270" s="562" t="s">
        <v>1005</v>
      </c>
      <c r="B270" s="562" t="s">
        <v>1007</v>
      </c>
      <c r="C270" s="562">
        <v>2200</v>
      </c>
      <c r="D270" s="571" t="s">
        <v>1037</v>
      </c>
      <c r="E270" s="563">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4" t="s">
        <v>1006</v>
      </c>
      <c r="B271" s="562" t="s">
        <v>1007</v>
      </c>
      <c r="C271" s="562">
        <v>2200</v>
      </c>
      <c r="D271" s="562">
        <v>6300</v>
      </c>
      <c r="E271" s="563">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4" t="s">
        <v>1006</v>
      </c>
      <c r="B272" s="562" t="s">
        <v>1007</v>
      </c>
      <c r="C272" s="562">
        <v>2200</v>
      </c>
      <c r="D272" s="562">
        <v>6400</v>
      </c>
      <c r="E272" s="563">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4" t="s">
        <v>1006</v>
      </c>
      <c r="B273" s="562" t="s">
        <v>1007</v>
      </c>
      <c r="C273" s="562">
        <v>2200</v>
      </c>
      <c r="D273" s="562">
        <v>6500</v>
      </c>
      <c r="E273" s="563">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2"/>
      <c r="B274" s="562"/>
      <c r="C274" s="562"/>
      <c r="D274" s="562"/>
      <c r="E274" s="563"/>
    </row>
    <row r="275" spans="1:5" x14ac:dyDescent="0.2">
      <c r="A275" s="562"/>
      <c r="B275" s="562"/>
      <c r="C275" s="562"/>
      <c r="D275" s="562"/>
      <c r="E275" s="563"/>
    </row>
    <row r="276" spans="1:5" x14ac:dyDescent="0.2">
      <c r="A276" s="562"/>
      <c r="B276" s="562"/>
      <c r="C276" s="562"/>
      <c r="D276" s="562"/>
      <c r="E276" s="563"/>
    </row>
    <row r="277" spans="1:5" x14ac:dyDescent="0.2">
      <c r="A277" s="562"/>
      <c r="B277" s="562"/>
      <c r="C277" s="562"/>
      <c r="D277" s="562"/>
      <c r="E277" s="563"/>
    </row>
    <row r="278" spans="1:5" x14ac:dyDescent="0.2">
      <c r="A278" s="562"/>
      <c r="B278" s="562"/>
      <c r="C278" s="562"/>
      <c r="D278" s="562"/>
      <c r="E278" s="563"/>
    </row>
    <row r="279" spans="1:5" x14ac:dyDescent="0.2">
      <c r="A279" s="562"/>
      <c r="B279" s="562"/>
      <c r="C279" s="562"/>
      <c r="D279" s="562"/>
      <c r="E279" s="563"/>
    </row>
    <row r="280" spans="1:5" x14ac:dyDescent="0.2">
      <c r="A280" s="562"/>
      <c r="B280" s="562"/>
      <c r="C280" s="562"/>
      <c r="D280" s="562"/>
      <c r="E280" s="563"/>
    </row>
    <row r="281" spans="1:5" x14ac:dyDescent="0.2">
      <c r="A281" s="562"/>
      <c r="B281" s="562"/>
      <c r="C281" s="562"/>
      <c r="D281" s="562"/>
      <c r="E281" s="563"/>
    </row>
    <row r="282" spans="1:5" x14ac:dyDescent="0.2">
      <c r="A282" s="562"/>
      <c r="B282" s="562"/>
      <c r="C282" s="562"/>
      <c r="D282" s="562"/>
      <c r="E282" s="563"/>
    </row>
    <row r="283" spans="1:5" x14ac:dyDescent="0.2">
      <c r="A283" s="564"/>
      <c r="B283" s="562"/>
      <c r="C283" s="562"/>
      <c r="D283" s="562"/>
      <c r="E283" s="563"/>
    </row>
    <row r="284" spans="1:5" x14ac:dyDescent="0.2">
      <c r="A284" s="562"/>
      <c r="B284" s="562"/>
      <c r="C284" s="562"/>
      <c r="D284" s="562"/>
      <c r="E284" s="563"/>
    </row>
    <row r="285" spans="1:5" x14ac:dyDescent="0.2">
      <c r="A285" s="562"/>
      <c r="B285" s="562"/>
      <c r="C285" s="562"/>
      <c r="D285" s="562"/>
      <c r="E285" s="563"/>
    </row>
    <row r="286" spans="1:5" x14ac:dyDescent="0.2">
      <c r="A286" s="562"/>
      <c r="B286" s="562"/>
      <c r="C286" s="562"/>
      <c r="D286" s="562"/>
      <c r="E286" s="563"/>
    </row>
    <row r="287" spans="1:5" x14ac:dyDescent="0.2">
      <c r="A287" s="562"/>
      <c r="B287" s="562"/>
      <c r="C287" s="562"/>
      <c r="D287" s="562"/>
      <c r="E287" s="563"/>
    </row>
    <row r="288" spans="1:5" x14ac:dyDescent="0.2">
      <c r="A288" s="562"/>
      <c r="B288" s="562"/>
      <c r="C288" s="562"/>
      <c r="D288" s="562"/>
      <c r="E288" s="563"/>
    </row>
    <row r="289" spans="1:5" x14ac:dyDescent="0.2">
      <c r="A289" s="564"/>
      <c r="B289" s="562"/>
      <c r="C289" s="562"/>
      <c r="D289" s="562"/>
      <c r="E289" s="563"/>
    </row>
    <row r="290" spans="1:5" x14ac:dyDescent="0.2">
      <c r="A290" s="562"/>
      <c r="B290" s="562"/>
      <c r="C290" s="562"/>
      <c r="D290" s="562"/>
      <c r="E290" s="563"/>
    </row>
    <row r="291" spans="1:5" x14ac:dyDescent="0.2">
      <c r="A291" s="562"/>
      <c r="B291" s="562"/>
      <c r="C291" s="562"/>
      <c r="D291" s="562"/>
      <c r="E291" s="563"/>
    </row>
    <row r="292" spans="1:5" x14ac:dyDescent="0.2">
      <c r="A292" s="565" t="s">
        <v>1040</v>
      </c>
      <c r="B292" s="565"/>
      <c r="C292" s="565"/>
      <c r="D292" s="565"/>
      <c r="E292" s="567">
        <f>((E266-E267-E268-E269-E270)+(E271+E272+E273+E274+E275+E276+E277+E278+E279))-((E280-E281-E282)+(E283+E284+E285))-((E286-E287-E288)+(E289+E290+E291))</f>
        <v>124338</v>
      </c>
    </row>
    <row r="293" spans="1:5" x14ac:dyDescent="0.2">
      <c r="A293" s="562" t="s">
        <v>1005</v>
      </c>
      <c r="B293" s="562" t="s">
        <v>1005</v>
      </c>
      <c r="C293" s="562">
        <v>2300</v>
      </c>
      <c r="D293" s="571" t="s">
        <v>1037</v>
      </c>
      <c r="E293" s="563">
        <f>SUMIFS('Accounting data'!$G$2:$G$37000,'Accounting data'!$J$2:$J$37000,"23*",'Accounting data'!$K$2:$K$37000,"63*")+SUMIFS('Accounting data'!$G$2:$G$37000,'Accounting data'!$J$2:$J$37000,"23*",'Accounting data'!$K$2:$K$37000,"64*")+SUMIFS('Accounting data'!$G$2:$G$37000,'Accounting data'!$J$2:$J$37000,"23*",'Accounting data'!$K$2:$K$37000,"65*")</f>
        <v>54397</v>
      </c>
    </row>
    <row r="294" spans="1:5" x14ac:dyDescent="0.2">
      <c r="A294" s="562" t="s">
        <v>1006</v>
      </c>
      <c r="B294" s="562" t="s">
        <v>1005</v>
      </c>
      <c r="C294" s="562">
        <v>2300</v>
      </c>
      <c r="D294" s="562">
        <v>6300</v>
      </c>
      <c r="E294" s="563">
        <f>SUMIFS('Accounting data'!$G$2:$G$37000,'Accounting data'!$H$2:$H$37000,"9999*",'Accounting data'!$J$2:$J$37000,"23*",'Accounting data'!$K$2:$K$37000,"63*")</f>
        <v>0</v>
      </c>
    </row>
    <row r="295" spans="1:5" x14ac:dyDescent="0.2">
      <c r="A295" s="562" t="s">
        <v>1006</v>
      </c>
      <c r="B295" s="562" t="s">
        <v>1005</v>
      </c>
      <c r="C295" s="562">
        <v>2300</v>
      </c>
      <c r="D295" s="562">
        <v>6400</v>
      </c>
      <c r="E295" s="563">
        <f>SUMIFS('Accounting data'!$G$2:$G$37000,'Accounting data'!$H$2:$H$37000,"9999*",'Accounting data'!$J$2:$J$37000,"23*",'Accounting data'!$K$2:$K$37000,"64*")</f>
        <v>0</v>
      </c>
    </row>
    <row r="296" spans="1:5" x14ac:dyDescent="0.2">
      <c r="A296" s="562" t="s">
        <v>1006</v>
      </c>
      <c r="B296" s="562" t="s">
        <v>1005</v>
      </c>
      <c r="C296" s="562">
        <v>2300</v>
      </c>
      <c r="D296" s="562">
        <v>6500</v>
      </c>
      <c r="E296" s="563">
        <f>SUMIFS('Accounting data'!$G$2:$G$37000,'Accounting data'!$H$2:$H$37000,"9999*",'Accounting data'!$J$2:$J$37000,"23*",'Accounting data'!$K$2:$K$37000,"65*")</f>
        <v>0</v>
      </c>
    </row>
    <row r="297" spans="1:5" x14ac:dyDescent="0.2">
      <c r="A297" s="562" t="s">
        <v>1005</v>
      </c>
      <c r="B297" s="562" t="s">
        <v>1007</v>
      </c>
      <c r="C297" s="562">
        <v>2300</v>
      </c>
      <c r="D297" s="571" t="s">
        <v>1037</v>
      </c>
      <c r="E297" s="563">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4" t="s">
        <v>1006</v>
      </c>
      <c r="B298" s="562" t="s">
        <v>1007</v>
      </c>
      <c r="C298" s="562">
        <v>2300</v>
      </c>
      <c r="D298" s="562">
        <v>6300</v>
      </c>
      <c r="E298" s="563">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4" t="s">
        <v>1006</v>
      </c>
      <c r="B299" s="562" t="s">
        <v>1007</v>
      </c>
      <c r="C299" s="562">
        <v>2300</v>
      </c>
      <c r="D299" s="562">
        <v>6400</v>
      </c>
      <c r="E299" s="563">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4" t="s">
        <v>1006</v>
      </c>
      <c r="B300" s="562" t="s">
        <v>1007</v>
      </c>
      <c r="C300" s="562">
        <v>2300</v>
      </c>
      <c r="D300" s="562">
        <v>6500</v>
      </c>
      <c r="E300" s="563">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2"/>
      <c r="B301" s="562"/>
      <c r="C301" s="562"/>
      <c r="D301" s="562"/>
      <c r="E301" s="563"/>
    </row>
    <row r="302" spans="1:5" x14ac:dyDescent="0.2">
      <c r="A302" s="562"/>
      <c r="B302" s="562"/>
      <c r="C302" s="562"/>
      <c r="D302" s="562"/>
      <c r="E302" s="563"/>
    </row>
    <row r="303" spans="1:5" x14ac:dyDescent="0.2">
      <c r="A303" s="562"/>
      <c r="B303" s="562"/>
      <c r="C303" s="562"/>
      <c r="D303" s="562"/>
      <c r="E303" s="563"/>
    </row>
    <row r="304" spans="1:5" x14ac:dyDescent="0.2">
      <c r="A304" s="562"/>
      <c r="B304" s="562"/>
      <c r="C304" s="562"/>
      <c r="D304" s="562"/>
      <c r="E304" s="563"/>
    </row>
    <row r="305" spans="1:5" x14ac:dyDescent="0.2">
      <c r="A305" s="562"/>
      <c r="B305" s="562"/>
      <c r="C305" s="562"/>
      <c r="D305" s="562"/>
      <c r="E305" s="563"/>
    </row>
    <row r="306" spans="1:5" x14ac:dyDescent="0.2">
      <c r="A306" s="562"/>
      <c r="B306" s="562"/>
      <c r="C306" s="562"/>
      <c r="D306" s="562"/>
      <c r="E306" s="563"/>
    </row>
    <row r="307" spans="1:5" x14ac:dyDescent="0.2">
      <c r="A307" s="562"/>
      <c r="B307" s="562"/>
      <c r="C307" s="562"/>
      <c r="D307" s="562"/>
      <c r="E307" s="563"/>
    </row>
    <row r="308" spans="1:5" x14ac:dyDescent="0.2">
      <c r="A308" s="562"/>
      <c r="B308" s="562"/>
      <c r="C308" s="562"/>
      <c r="D308" s="562"/>
      <c r="E308" s="563"/>
    </row>
    <row r="309" spans="1:5" x14ac:dyDescent="0.2">
      <c r="A309" s="562"/>
      <c r="B309" s="562"/>
      <c r="C309" s="562"/>
      <c r="D309" s="562"/>
      <c r="E309" s="563"/>
    </row>
    <row r="310" spans="1:5" x14ac:dyDescent="0.2">
      <c r="A310" s="564"/>
      <c r="B310" s="562"/>
      <c r="C310" s="562"/>
      <c r="D310" s="562"/>
      <c r="E310" s="563"/>
    </row>
    <row r="311" spans="1:5" x14ac:dyDescent="0.2">
      <c r="A311" s="562"/>
      <c r="B311" s="562"/>
      <c r="C311" s="562"/>
      <c r="D311" s="562"/>
      <c r="E311" s="563"/>
    </row>
    <row r="312" spans="1:5" x14ac:dyDescent="0.2">
      <c r="A312" s="562"/>
      <c r="B312" s="562"/>
      <c r="C312" s="562"/>
      <c r="D312" s="562"/>
      <c r="E312" s="563"/>
    </row>
    <row r="313" spans="1:5" x14ac:dyDescent="0.2">
      <c r="A313" s="562"/>
      <c r="B313" s="562"/>
      <c r="C313" s="562"/>
      <c r="D313" s="562"/>
      <c r="E313" s="563"/>
    </row>
    <row r="314" spans="1:5" x14ac:dyDescent="0.2">
      <c r="A314" s="562"/>
      <c r="B314" s="562"/>
      <c r="C314" s="562"/>
      <c r="D314" s="562"/>
      <c r="E314" s="563"/>
    </row>
    <row r="315" spans="1:5" x14ac:dyDescent="0.2">
      <c r="A315" s="562"/>
      <c r="B315" s="562"/>
      <c r="C315" s="562"/>
      <c r="D315" s="562"/>
      <c r="E315" s="563"/>
    </row>
    <row r="316" spans="1:5" x14ac:dyDescent="0.2">
      <c r="A316" s="564"/>
      <c r="B316" s="562"/>
      <c r="C316" s="562"/>
      <c r="D316" s="562"/>
      <c r="E316" s="563"/>
    </row>
    <row r="317" spans="1:5" x14ac:dyDescent="0.2">
      <c r="A317" s="562"/>
      <c r="B317" s="562"/>
      <c r="C317" s="562"/>
      <c r="D317" s="562"/>
      <c r="E317" s="563"/>
    </row>
    <row r="318" spans="1:5" x14ac:dyDescent="0.2">
      <c r="A318" s="562"/>
      <c r="B318" s="562"/>
      <c r="C318" s="562"/>
      <c r="D318" s="562"/>
      <c r="E318" s="563"/>
    </row>
    <row r="319" spans="1:5" x14ac:dyDescent="0.2">
      <c r="A319" s="565" t="s">
        <v>1041</v>
      </c>
      <c r="B319" s="565"/>
      <c r="C319" s="565"/>
      <c r="D319" s="565"/>
      <c r="E319" s="567">
        <f>((E293-E294-E295-E296-E297)+(E298+E299+E300+E301+E302+E303+E304+E305+E306))-((E307-E308-E309)+(E310+E311+E312))-((E313-E314-E315)+(E316+E317+E318))</f>
        <v>54397</v>
      </c>
    </row>
    <row r="320" spans="1:5" x14ac:dyDescent="0.2">
      <c r="A320" s="562" t="s">
        <v>1005</v>
      </c>
      <c r="B320" s="562" t="s">
        <v>1005</v>
      </c>
      <c r="C320" s="562">
        <v>2400</v>
      </c>
      <c r="D320" s="571" t="s">
        <v>1037</v>
      </c>
      <c r="E320" s="563">
        <f>SUMIFS('Accounting data'!$G$2:$G$37000,'Accounting data'!$J$2:$J$37000,"24*",'Accounting data'!$K$2:$K$37000,"63*")+SUMIFS('Accounting data'!$G$2:$G$37000,'Accounting data'!$J$2:$J$37000,"24*",'Accounting data'!$K$2:$K$37000,"64*")+SUMIFS('Accounting data'!$G$2:$G$37000,'Accounting data'!$J$2:$J$37000,"24*",'Accounting data'!$K$2:$K$37000,"65*")</f>
        <v>47011</v>
      </c>
    </row>
    <row r="321" spans="1:5" x14ac:dyDescent="0.2">
      <c r="A321" s="562" t="s">
        <v>1006</v>
      </c>
      <c r="B321" s="562" t="s">
        <v>1005</v>
      </c>
      <c r="C321" s="562">
        <v>2400</v>
      </c>
      <c r="D321" s="562">
        <v>6300</v>
      </c>
      <c r="E321" s="563">
        <f>SUMIFS('Accounting data'!$G$2:$G$37000,'Accounting data'!$H$2:$H$37000,"9999*",'Accounting data'!$J$2:$J$37000,"24*",'Accounting data'!$K$2:$K$37000,"63*")</f>
        <v>0</v>
      </c>
    </row>
    <row r="322" spans="1:5" x14ac:dyDescent="0.2">
      <c r="A322" s="562" t="s">
        <v>1006</v>
      </c>
      <c r="B322" s="562" t="s">
        <v>1005</v>
      </c>
      <c r="C322" s="562">
        <v>2400</v>
      </c>
      <c r="D322" s="562">
        <v>6400</v>
      </c>
      <c r="E322" s="563">
        <f>SUMIFS('Accounting data'!$G$2:$G$37000,'Accounting data'!$H$2:$H$37000,"9999*",'Accounting data'!$J$2:$J$37000,"24*",'Accounting data'!$K$2:$K$37000,"64*")</f>
        <v>0</v>
      </c>
    </row>
    <row r="323" spans="1:5" x14ac:dyDescent="0.2">
      <c r="A323" s="562" t="s">
        <v>1006</v>
      </c>
      <c r="B323" s="562" t="s">
        <v>1005</v>
      </c>
      <c r="C323" s="562">
        <v>2400</v>
      </c>
      <c r="D323" s="562">
        <v>6500</v>
      </c>
      <c r="E323" s="563">
        <f>SUMIFS('Accounting data'!$G$2:$G$37000,'Accounting data'!$H$2:$H$37000,"9999*",'Accounting data'!$J$2:$J$37000,"24*",'Accounting data'!$K$2:$K$37000,"65*")</f>
        <v>0</v>
      </c>
    </row>
    <row r="324" spans="1:5" x14ac:dyDescent="0.2">
      <c r="A324" s="562" t="s">
        <v>1005</v>
      </c>
      <c r="B324" s="562" t="s">
        <v>1007</v>
      </c>
      <c r="C324" s="562">
        <v>2400</v>
      </c>
      <c r="D324" s="571" t="s">
        <v>1037</v>
      </c>
      <c r="E324" s="563">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4" t="s">
        <v>1006</v>
      </c>
      <c r="B325" s="562" t="s">
        <v>1007</v>
      </c>
      <c r="C325" s="562">
        <v>2400</v>
      </c>
      <c r="D325" s="562">
        <v>6300</v>
      </c>
      <c r="E325" s="563">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4" t="s">
        <v>1006</v>
      </c>
      <c r="B326" s="562" t="s">
        <v>1007</v>
      </c>
      <c r="C326" s="562">
        <v>2400</v>
      </c>
      <c r="D326" s="562">
        <v>6400</v>
      </c>
      <c r="E326" s="563">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4" t="s">
        <v>1006</v>
      </c>
      <c r="B327" s="562" t="s">
        <v>1007</v>
      </c>
      <c r="C327" s="562">
        <v>2400</v>
      </c>
      <c r="D327" s="562">
        <v>6500</v>
      </c>
      <c r="E327" s="563">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2"/>
      <c r="B328" s="562"/>
      <c r="C328" s="562"/>
      <c r="D328" s="562"/>
      <c r="E328" s="563"/>
    </row>
    <row r="329" spans="1:5" x14ac:dyDescent="0.2">
      <c r="A329" s="562"/>
      <c r="B329" s="562"/>
      <c r="C329" s="562"/>
      <c r="D329" s="562"/>
      <c r="E329" s="563"/>
    </row>
    <row r="330" spans="1:5" x14ac:dyDescent="0.2">
      <c r="A330" s="562"/>
      <c r="B330" s="562"/>
      <c r="C330" s="562"/>
      <c r="D330" s="562"/>
      <c r="E330" s="563"/>
    </row>
    <row r="331" spans="1:5" x14ac:dyDescent="0.2">
      <c r="A331" s="562"/>
      <c r="B331" s="562"/>
      <c r="C331" s="562"/>
      <c r="D331" s="562"/>
      <c r="E331" s="563"/>
    </row>
    <row r="332" spans="1:5" x14ac:dyDescent="0.2">
      <c r="A332" s="562"/>
      <c r="B332" s="562"/>
      <c r="C332" s="562"/>
      <c r="D332" s="562"/>
      <c r="E332" s="563"/>
    </row>
    <row r="333" spans="1:5" x14ac:dyDescent="0.2">
      <c r="A333" s="562"/>
      <c r="B333" s="562"/>
      <c r="C333" s="562"/>
      <c r="D333" s="562"/>
      <c r="E333" s="563"/>
    </row>
    <row r="334" spans="1:5" x14ac:dyDescent="0.2">
      <c r="A334" s="562"/>
      <c r="B334" s="562"/>
      <c r="C334" s="562"/>
      <c r="D334" s="562"/>
      <c r="E334" s="563"/>
    </row>
    <row r="335" spans="1:5" x14ac:dyDescent="0.2">
      <c r="A335" s="562"/>
      <c r="B335" s="562"/>
      <c r="C335" s="562"/>
      <c r="D335" s="562"/>
      <c r="E335" s="563"/>
    </row>
    <row r="336" spans="1:5" x14ac:dyDescent="0.2">
      <c r="A336" s="562"/>
      <c r="B336" s="562"/>
      <c r="C336" s="562"/>
      <c r="D336" s="562"/>
      <c r="E336" s="563"/>
    </row>
    <row r="337" spans="1:5" x14ac:dyDescent="0.2">
      <c r="A337" s="564"/>
      <c r="B337" s="562"/>
      <c r="C337" s="562"/>
      <c r="D337" s="562"/>
      <c r="E337" s="563"/>
    </row>
    <row r="338" spans="1:5" x14ac:dyDescent="0.2">
      <c r="A338" s="562"/>
      <c r="B338" s="562"/>
      <c r="C338" s="562"/>
      <c r="D338" s="562"/>
      <c r="E338" s="563"/>
    </row>
    <row r="339" spans="1:5" x14ac:dyDescent="0.2">
      <c r="A339" s="562"/>
      <c r="B339" s="562"/>
      <c r="C339" s="562"/>
      <c r="D339" s="562"/>
      <c r="E339" s="563"/>
    </row>
    <row r="340" spans="1:5" x14ac:dyDescent="0.2">
      <c r="A340" s="562"/>
      <c r="B340" s="562"/>
      <c r="C340" s="562"/>
      <c r="D340" s="562"/>
      <c r="E340" s="563"/>
    </row>
    <row r="341" spans="1:5" x14ac:dyDescent="0.2">
      <c r="A341" s="562"/>
      <c r="B341" s="562"/>
      <c r="C341" s="562"/>
      <c r="D341" s="562"/>
      <c r="E341" s="563"/>
    </row>
    <row r="342" spans="1:5" x14ac:dyDescent="0.2">
      <c r="A342" s="562"/>
      <c r="B342" s="562"/>
      <c r="C342" s="562"/>
      <c r="D342" s="562"/>
      <c r="E342" s="563"/>
    </row>
    <row r="343" spans="1:5" x14ac:dyDescent="0.2">
      <c r="A343" s="564"/>
      <c r="B343" s="562"/>
      <c r="C343" s="562"/>
      <c r="D343" s="562"/>
      <c r="E343" s="563"/>
    </row>
    <row r="344" spans="1:5" x14ac:dyDescent="0.2">
      <c r="A344" s="562"/>
      <c r="B344" s="562"/>
      <c r="C344" s="562"/>
      <c r="D344" s="562"/>
      <c r="E344" s="563"/>
    </row>
    <row r="345" spans="1:5" x14ac:dyDescent="0.2">
      <c r="A345" s="562"/>
      <c r="B345" s="562"/>
      <c r="C345" s="562"/>
      <c r="D345" s="562"/>
      <c r="E345" s="563"/>
    </row>
    <row r="346" spans="1:5" x14ac:dyDescent="0.2">
      <c r="A346" s="565" t="s">
        <v>1042</v>
      </c>
      <c r="B346" s="565"/>
      <c r="C346" s="565"/>
      <c r="D346" s="565"/>
      <c r="E346" s="567">
        <f>((E320-E321-E322-E323-E324)+(E325+E326+E327+E328+E329+E330+E331+E332+E333))-((E334-E335-E336)+(E337+E338+E339))-((E340-E341-E342)+(E343+E344+E345))</f>
        <v>47011</v>
      </c>
    </row>
    <row r="347" spans="1:5" x14ac:dyDescent="0.2">
      <c r="A347" s="562" t="s">
        <v>1005</v>
      </c>
      <c r="B347" s="562" t="s">
        <v>1005</v>
      </c>
      <c r="C347" s="562">
        <v>2500</v>
      </c>
      <c r="D347" s="571" t="s">
        <v>1037</v>
      </c>
      <c r="E347" s="563">
        <f>SUMIFS('Accounting data'!$G$2:$G$37000,'Accounting data'!$J$2:$J$37000,"25*",'Accounting data'!$K$2:$K$37000,"63*")+SUMIFS('Accounting data'!$G$2:$G$37000,'Accounting data'!$J$2:$J$37000,"25*",'Accounting data'!$K$2:$K$37000,"64*")+SUMIFS('Accounting data'!$G$2:$G$37000,'Accounting data'!$J$2:$J$37000,"25*",'Accounting data'!$K$2:$K$37000,"65*")</f>
        <v>4099149</v>
      </c>
    </row>
    <row r="348" spans="1:5" x14ac:dyDescent="0.2">
      <c r="A348" s="562" t="s">
        <v>1006</v>
      </c>
      <c r="B348" s="562" t="s">
        <v>1005</v>
      </c>
      <c r="C348" s="562">
        <v>2500</v>
      </c>
      <c r="D348" s="562">
        <v>6300</v>
      </c>
      <c r="E348" s="563">
        <f>SUMIFS('Accounting data'!$G$2:$G$37000,'Accounting data'!$H$2:$H$37000,"9999*",'Accounting data'!$J$2:$J$37000,"25*",'Accounting data'!$K$2:$K$37000,"63*")</f>
        <v>0</v>
      </c>
    </row>
    <row r="349" spans="1:5" x14ac:dyDescent="0.2">
      <c r="A349" s="562" t="s">
        <v>1006</v>
      </c>
      <c r="B349" s="562" t="s">
        <v>1005</v>
      </c>
      <c r="C349" s="562">
        <v>2500</v>
      </c>
      <c r="D349" s="562">
        <v>6400</v>
      </c>
      <c r="E349" s="563">
        <f>SUMIFS('Accounting data'!$G$2:$G$37000,'Accounting data'!$H$2:$H$37000,"9999*",'Accounting data'!$J$2:$J$37000,"25*",'Accounting data'!$K$2:$K$37000,"64*")</f>
        <v>0</v>
      </c>
    </row>
    <row r="350" spans="1:5" x14ac:dyDescent="0.2">
      <c r="A350" s="562" t="s">
        <v>1006</v>
      </c>
      <c r="B350" s="562" t="s">
        <v>1005</v>
      </c>
      <c r="C350" s="562">
        <v>2500</v>
      </c>
      <c r="D350" s="562">
        <v>6500</v>
      </c>
      <c r="E350" s="563">
        <f>SUMIFS('Accounting data'!$G$2:$G$37000,'Accounting data'!$H$2:$H$37000,"9999*",'Accounting data'!$J$2:$J$37000,"25*",'Accounting data'!$K$2:$K$37000,"65*")</f>
        <v>0</v>
      </c>
    </row>
    <row r="351" spans="1:5" x14ac:dyDescent="0.2">
      <c r="A351" s="562" t="s">
        <v>1005</v>
      </c>
      <c r="B351" s="562" t="s">
        <v>1007</v>
      </c>
      <c r="C351" s="562">
        <v>2500</v>
      </c>
      <c r="D351" s="571" t="s">
        <v>1037</v>
      </c>
      <c r="E351" s="563">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4" t="s">
        <v>1006</v>
      </c>
      <c r="B352" s="562" t="s">
        <v>1007</v>
      </c>
      <c r="C352" s="562">
        <v>2500</v>
      </c>
      <c r="D352" s="562">
        <v>6300</v>
      </c>
      <c r="E352" s="563">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4" t="s">
        <v>1006</v>
      </c>
      <c r="B353" s="562" t="s">
        <v>1007</v>
      </c>
      <c r="C353" s="562">
        <v>2500</v>
      </c>
      <c r="D353" s="562">
        <v>6400</v>
      </c>
      <c r="E353" s="563">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4" t="s">
        <v>1006</v>
      </c>
      <c r="B354" s="562" t="s">
        <v>1007</v>
      </c>
      <c r="C354" s="562">
        <v>2500</v>
      </c>
      <c r="D354" s="562">
        <v>6500</v>
      </c>
      <c r="E354" s="563">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2"/>
      <c r="B355" s="562"/>
      <c r="C355" s="562"/>
      <c r="D355" s="562"/>
      <c r="E355" s="563"/>
    </row>
    <row r="356" spans="1:5" x14ac:dyDescent="0.2">
      <c r="A356" s="562"/>
      <c r="B356" s="562"/>
      <c r="C356" s="562"/>
      <c r="D356" s="562"/>
      <c r="E356" s="563"/>
    </row>
    <row r="357" spans="1:5" x14ac:dyDescent="0.2">
      <c r="A357" s="562"/>
      <c r="B357" s="562"/>
      <c r="C357" s="562"/>
      <c r="D357" s="562"/>
      <c r="E357" s="563"/>
    </row>
    <row r="358" spans="1:5" x14ac:dyDescent="0.2">
      <c r="A358" s="562"/>
      <c r="B358" s="562"/>
      <c r="C358" s="562"/>
      <c r="D358" s="562"/>
      <c r="E358" s="563"/>
    </row>
    <row r="359" spans="1:5" x14ac:dyDescent="0.2">
      <c r="A359" s="562"/>
      <c r="B359" s="562"/>
      <c r="C359" s="562"/>
      <c r="D359" s="562"/>
      <c r="E359" s="563"/>
    </row>
    <row r="360" spans="1:5" x14ac:dyDescent="0.2">
      <c r="A360" s="562"/>
      <c r="B360" s="562"/>
      <c r="C360" s="562"/>
      <c r="D360" s="562"/>
      <c r="E360" s="563"/>
    </row>
    <row r="361" spans="1:5" x14ac:dyDescent="0.2">
      <c r="A361" s="562"/>
      <c r="B361" s="562"/>
      <c r="C361" s="562"/>
      <c r="D361" s="562"/>
      <c r="E361" s="563"/>
    </row>
    <row r="362" spans="1:5" x14ac:dyDescent="0.2">
      <c r="A362" s="562"/>
      <c r="B362" s="562"/>
      <c r="C362" s="562"/>
      <c r="D362" s="562"/>
      <c r="E362" s="563"/>
    </row>
    <row r="363" spans="1:5" x14ac:dyDescent="0.2">
      <c r="A363" s="562"/>
      <c r="B363" s="562"/>
      <c r="C363" s="562"/>
      <c r="D363" s="562"/>
      <c r="E363" s="563"/>
    </row>
    <row r="364" spans="1:5" x14ac:dyDescent="0.2">
      <c r="A364" s="564"/>
      <c r="B364" s="562"/>
      <c r="C364" s="562"/>
      <c r="D364" s="562"/>
      <c r="E364" s="563"/>
    </row>
    <row r="365" spans="1:5" x14ac:dyDescent="0.2">
      <c r="A365" s="562"/>
      <c r="B365" s="562"/>
      <c r="C365" s="562"/>
      <c r="D365" s="562"/>
      <c r="E365" s="563"/>
    </row>
    <row r="366" spans="1:5" x14ac:dyDescent="0.2">
      <c r="A366" s="562"/>
      <c r="B366" s="562"/>
      <c r="C366" s="562"/>
      <c r="D366" s="562"/>
      <c r="E366" s="563"/>
    </row>
    <row r="367" spans="1:5" x14ac:dyDescent="0.2">
      <c r="A367" s="562"/>
      <c r="B367" s="562"/>
      <c r="C367" s="562"/>
      <c r="D367" s="562"/>
      <c r="E367" s="563"/>
    </row>
    <row r="368" spans="1:5" x14ac:dyDescent="0.2">
      <c r="A368" s="562"/>
      <c r="B368" s="562"/>
      <c r="C368" s="562"/>
      <c r="D368" s="562"/>
      <c r="E368" s="563"/>
    </row>
    <row r="369" spans="1:5" x14ac:dyDescent="0.2">
      <c r="A369" s="562"/>
      <c r="B369" s="562"/>
      <c r="C369" s="562"/>
      <c r="D369" s="562"/>
      <c r="E369" s="563"/>
    </row>
    <row r="370" spans="1:5" x14ac:dyDescent="0.2">
      <c r="A370" s="564"/>
      <c r="B370" s="562"/>
      <c r="C370" s="562"/>
      <c r="D370" s="562"/>
      <c r="E370" s="563"/>
    </row>
    <row r="371" spans="1:5" x14ac:dyDescent="0.2">
      <c r="A371" s="562"/>
      <c r="B371" s="562"/>
      <c r="C371" s="562"/>
      <c r="D371" s="562"/>
      <c r="E371" s="563"/>
    </row>
    <row r="372" spans="1:5" x14ac:dyDescent="0.2">
      <c r="A372" s="562"/>
      <c r="B372" s="562"/>
      <c r="C372" s="562"/>
      <c r="D372" s="562"/>
      <c r="E372" s="563"/>
    </row>
    <row r="373" spans="1:5" x14ac:dyDescent="0.2">
      <c r="A373" s="565" t="s">
        <v>1043</v>
      </c>
      <c r="B373" s="565"/>
      <c r="C373" s="565"/>
      <c r="D373" s="565"/>
      <c r="E373" s="567">
        <f>((E347-E348-E349-E350-E351)+(E352+E353+E354+E355+E356+E357+E358+E359+E360))-((E361-E362-E363)+(E364+E365+E366))-((E367-E368-E369)+(E370+E371+E372))</f>
        <v>4099149</v>
      </c>
    </row>
    <row r="374" spans="1:5" x14ac:dyDescent="0.2">
      <c r="A374" s="562" t="s">
        <v>1005</v>
      </c>
      <c r="B374" s="562" t="s">
        <v>1005</v>
      </c>
      <c r="C374" s="562">
        <v>2900</v>
      </c>
      <c r="D374" s="571" t="s">
        <v>1037</v>
      </c>
      <c r="E374" s="563">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2" t="s">
        <v>1006</v>
      </c>
      <c r="B375" s="562" t="s">
        <v>1005</v>
      </c>
      <c r="C375" s="562">
        <v>2900</v>
      </c>
      <c r="D375" s="562">
        <v>6300</v>
      </c>
      <c r="E375" s="563">
        <f>SUMIFS('Accounting data'!$G$2:$G$37000,'Accounting data'!$H$2:$H$37000,"9999*",'Accounting data'!$J$2:$J$37000,"29*",'Accounting data'!$K$2:$K$37000,"63*")</f>
        <v>0</v>
      </c>
    </row>
    <row r="376" spans="1:5" x14ac:dyDescent="0.2">
      <c r="A376" s="562" t="s">
        <v>1006</v>
      </c>
      <c r="B376" s="562" t="s">
        <v>1005</v>
      </c>
      <c r="C376" s="562">
        <v>2900</v>
      </c>
      <c r="D376" s="562">
        <v>6400</v>
      </c>
      <c r="E376" s="563">
        <f>SUMIFS('Accounting data'!$G$2:$G$37000,'Accounting data'!$H$2:$H$37000,"9999*",'Accounting data'!$J$2:$J$37000,"29*",'Accounting data'!$K$2:$K$37000,"64*")</f>
        <v>0</v>
      </c>
    </row>
    <row r="377" spans="1:5" x14ac:dyDescent="0.2">
      <c r="A377" s="562" t="s">
        <v>1006</v>
      </c>
      <c r="B377" s="562" t="s">
        <v>1005</v>
      </c>
      <c r="C377" s="562">
        <v>2900</v>
      </c>
      <c r="D377" s="562">
        <v>6500</v>
      </c>
      <c r="E377" s="563">
        <f>SUMIFS('Accounting data'!$G$2:$G$37000,'Accounting data'!$H$2:$H$37000,"9999*",'Accounting data'!$J$2:$J$37000,"29*",'Accounting data'!$K$2:$K$37000,"65*")</f>
        <v>0</v>
      </c>
    </row>
    <row r="378" spans="1:5" x14ac:dyDescent="0.2">
      <c r="A378" s="562" t="s">
        <v>1005</v>
      </c>
      <c r="B378" s="562" t="s">
        <v>1007</v>
      </c>
      <c r="C378" s="562">
        <v>2900</v>
      </c>
      <c r="D378" s="571" t="s">
        <v>1037</v>
      </c>
      <c r="E378" s="563">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4" t="s">
        <v>1006</v>
      </c>
      <c r="B379" s="562" t="s">
        <v>1007</v>
      </c>
      <c r="C379" s="562">
        <v>2900</v>
      </c>
      <c r="D379" s="562">
        <v>6300</v>
      </c>
      <c r="E379" s="563">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4" t="s">
        <v>1006</v>
      </c>
      <c r="B380" s="562" t="s">
        <v>1007</v>
      </c>
      <c r="C380" s="562">
        <v>2900</v>
      </c>
      <c r="D380" s="562">
        <v>6400</v>
      </c>
      <c r="E380" s="563">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4" t="s">
        <v>1006</v>
      </c>
      <c r="B381" s="562" t="s">
        <v>1007</v>
      </c>
      <c r="C381" s="562">
        <v>2900</v>
      </c>
      <c r="D381" s="562">
        <v>6500</v>
      </c>
      <c r="E381" s="563">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2"/>
      <c r="B382" s="562"/>
      <c r="C382" s="562"/>
      <c r="D382" s="562"/>
      <c r="E382" s="563"/>
    </row>
    <row r="383" spans="1:5" x14ac:dyDescent="0.2">
      <c r="A383" s="562"/>
      <c r="B383" s="562"/>
      <c r="C383" s="562"/>
      <c r="D383" s="562"/>
      <c r="E383" s="563"/>
    </row>
    <row r="384" spans="1:5" x14ac:dyDescent="0.2">
      <c r="A384" s="562"/>
      <c r="B384" s="562"/>
      <c r="C384" s="562"/>
      <c r="D384" s="562"/>
      <c r="E384" s="563"/>
    </row>
    <row r="385" spans="1:5" x14ac:dyDescent="0.2">
      <c r="A385" s="562"/>
      <c r="B385" s="562"/>
      <c r="C385" s="562"/>
      <c r="D385" s="562"/>
      <c r="E385" s="563"/>
    </row>
    <row r="386" spans="1:5" x14ac:dyDescent="0.2">
      <c r="A386" s="562"/>
      <c r="B386" s="562"/>
      <c r="C386" s="562"/>
      <c r="D386" s="562"/>
      <c r="E386" s="563"/>
    </row>
    <row r="387" spans="1:5" x14ac:dyDescent="0.2">
      <c r="A387" s="562"/>
      <c r="B387" s="562"/>
      <c r="C387" s="562"/>
      <c r="D387" s="562"/>
      <c r="E387" s="563"/>
    </row>
    <row r="388" spans="1:5" x14ac:dyDescent="0.2">
      <c r="A388" s="562"/>
      <c r="B388" s="562"/>
      <c r="C388" s="562"/>
      <c r="D388" s="562"/>
      <c r="E388" s="563"/>
    </row>
    <row r="389" spans="1:5" x14ac:dyDescent="0.2">
      <c r="A389" s="562"/>
      <c r="B389" s="562"/>
      <c r="C389" s="562"/>
      <c r="D389" s="562"/>
      <c r="E389" s="563"/>
    </row>
    <row r="390" spans="1:5" x14ac:dyDescent="0.2">
      <c r="A390" s="562"/>
      <c r="B390" s="562"/>
      <c r="C390" s="562"/>
      <c r="D390" s="562"/>
      <c r="E390" s="563"/>
    </row>
    <row r="391" spans="1:5" x14ac:dyDescent="0.2">
      <c r="A391" s="564"/>
      <c r="B391" s="562"/>
      <c r="C391" s="562"/>
      <c r="D391" s="562"/>
      <c r="E391" s="563"/>
    </row>
    <row r="392" spans="1:5" x14ac:dyDescent="0.2">
      <c r="A392" s="562"/>
      <c r="B392" s="562"/>
      <c r="C392" s="562"/>
      <c r="D392" s="562"/>
      <c r="E392" s="563"/>
    </row>
    <row r="393" spans="1:5" x14ac:dyDescent="0.2">
      <c r="A393" s="562"/>
      <c r="B393" s="562"/>
      <c r="C393" s="562"/>
      <c r="D393" s="562"/>
      <c r="E393" s="563"/>
    </row>
    <row r="394" spans="1:5" x14ac:dyDescent="0.2">
      <c r="A394" s="562"/>
      <c r="B394" s="562"/>
      <c r="C394" s="562"/>
      <c r="D394" s="562"/>
      <c r="E394" s="563"/>
    </row>
    <row r="395" spans="1:5" x14ac:dyDescent="0.2">
      <c r="A395" s="562"/>
      <c r="B395" s="562"/>
      <c r="C395" s="562"/>
      <c r="D395" s="562"/>
      <c r="E395" s="563"/>
    </row>
    <row r="396" spans="1:5" x14ac:dyDescent="0.2">
      <c r="A396" s="562"/>
      <c r="B396" s="562"/>
      <c r="C396" s="562"/>
      <c r="D396" s="562"/>
      <c r="E396" s="563"/>
    </row>
    <row r="397" spans="1:5" x14ac:dyDescent="0.2">
      <c r="A397" s="564"/>
      <c r="B397" s="562"/>
      <c r="C397" s="562"/>
      <c r="D397" s="562"/>
      <c r="E397" s="563"/>
    </row>
    <row r="398" spans="1:5" x14ac:dyDescent="0.2">
      <c r="A398" s="562"/>
      <c r="B398" s="562"/>
      <c r="C398" s="562"/>
      <c r="D398" s="562"/>
      <c r="E398" s="563"/>
    </row>
    <row r="399" spans="1:5" x14ac:dyDescent="0.2">
      <c r="A399" s="562"/>
      <c r="B399" s="562"/>
      <c r="C399" s="562"/>
      <c r="D399" s="562"/>
      <c r="E399" s="563"/>
    </row>
    <row r="400" spans="1:5" x14ac:dyDescent="0.2">
      <c r="A400" s="565" t="s">
        <v>1044</v>
      </c>
      <c r="B400" s="565"/>
      <c r="C400" s="565"/>
      <c r="D400" s="565"/>
      <c r="E400" s="567">
        <f>((E374-E375-E376-E377-E378)+(E379+E380+E381+E382+E383+E384+E385+E386+E387))-((E388-E389-E390)+(E391+E392+E393))-((E394-E395-E396)+(E397+E398+E399))</f>
        <v>0</v>
      </c>
    </row>
    <row r="401" spans="1:5" x14ac:dyDescent="0.2">
      <c r="A401" s="562" t="s">
        <v>1005</v>
      </c>
      <c r="B401" s="562" t="s">
        <v>1005</v>
      </c>
      <c r="C401" s="562">
        <v>2600</v>
      </c>
      <c r="D401" s="571" t="s">
        <v>1037</v>
      </c>
      <c r="E401" s="563">
        <f>SUMIFS('Accounting data'!$G$2:$G$37000,'Accounting data'!$J$2:$J$37000,"26*",'Accounting data'!$K$2:$K$37000,"63*")+SUMIFS('Accounting data'!$G$2:$G$37000,'Accounting data'!$J$2:$J$37000,"26*",'Accounting data'!$K$2:$K$37000,"64*")+SUMIFS('Accounting data'!$G$2:$G$37000,'Accounting data'!$J$2:$J$37000,"26*",'Accounting data'!$K$2:$K$37000,"65*")</f>
        <v>293801</v>
      </c>
    </row>
    <row r="402" spans="1:5" x14ac:dyDescent="0.2">
      <c r="A402" s="562" t="s">
        <v>1006</v>
      </c>
      <c r="B402" s="562" t="s">
        <v>1005</v>
      </c>
      <c r="C402" s="562">
        <v>2600</v>
      </c>
      <c r="D402" s="562">
        <v>6300</v>
      </c>
      <c r="E402" s="563">
        <f>SUMIFS('Accounting data'!$G$2:$G$37000,'Accounting data'!$H$2:$H$37000,"9999*",'Accounting data'!$J$2:$J$37000,"26*",'Accounting data'!$K$2:$K$37000,"63*")</f>
        <v>0</v>
      </c>
    </row>
    <row r="403" spans="1:5" x14ac:dyDescent="0.2">
      <c r="A403" s="562" t="s">
        <v>1006</v>
      </c>
      <c r="B403" s="562" t="s">
        <v>1005</v>
      </c>
      <c r="C403" s="562">
        <v>2600</v>
      </c>
      <c r="D403" s="562">
        <v>6400</v>
      </c>
      <c r="E403" s="563">
        <f>SUMIFS('Accounting data'!$G$2:$G$37000,'Accounting data'!$H$2:$H$37000,"9999*",'Accounting data'!$J$2:$J$37000,"26*",'Accounting data'!$K$2:$K$37000,"64*")</f>
        <v>0</v>
      </c>
    </row>
    <row r="404" spans="1:5" x14ac:dyDescent="0.2">
      <c r="A404" s="562" t="s">
        <v>1006</v>
      </c>
      <c r="B404" s="562" t="s">
        <v>1005</v>
      </c>
      <c r="C404" s="562">
        <v>2600</v>
      </c>
      <c r="D404" s="562">
        <v>6500</v>
      </c>
      <c r="E404" s="563">
        <f>SUMIFS('Accounting data'!$G$2:$G$37000,'Accounting data'!$H$2:$H$37000,"9999*",'Accounting data'!$J$2:$J$37000,"26*",'Accounting data'!$K$2:$K$37000,"65*")</f>
        <v>0</v>
      </c>
    </row>
    <row r="405" spans="1:5" x14ac:dyDescent="0.2">
      <c r="A405" s="562" t="s">
        <v>1005</v>
      </c>
      <c r="B405" s="562" t="s">
        <v>1007</v>
      </c>
      <c r="C405" s="562">
        <v>2600</v>
      </c>
      <c r="D405" s="571" t="s">
        <v>1037</v>
      </c>
      <c r="E405" s="563">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4" t="s">
        <v>1006</v>
      </c>
      <c r="B406" s="562" t="s">
        <v>1007</v>
      </c>
      <c r="C406" s="562">
        <v>2600</v>
      </c>
      <c r="D406" s="562">
        <v>6300</v>
      </c>
      <c r="E406" s="563">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4" t="s">
        <v>1006</v>
      </c>
      <c r="B407" s="562" t="s">
        <v>1007</v>
      </c>
      <c r="C407" s="562">
        <v>2600</v>
      </c>
      <c r="D407" s="562">
        <v>6400</v>
      </c>
      <c r="E407" s="563">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4" t="s">
        <v>1006</v>
      </c>
      <c r="B408" s="562" t="s">
        <v>1007</v>
      </c>
      <c r="C408" s="562">
        <v>2600</v>
      </c>
      <c r="D408" s="562">
        <v>6500</v>
      </c>
      <c r="E408" s="563">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2"/>
      <c r="B409" s="562"/>
      <c r="C409" s="562"/>
      <c r="D409" s="562"/>
      <c r="E409" s="563"/>
    </row>
    <row r="410" spans="1:5" x14ac:dyDescent="0.2">
      <c r="A410" s="562"/>
      <c r="B410" s="562"/>
      <c r="C410" s="562"/>
      <c r="D410" s="562"/>
      <c r="E410" s="563"/>
    </row>
    <row r="411" spans="1:5" x14ac:dyDescent="0.2">
      <c r="A411" s="562"/>
      <c r="B411" s="562"/>
      <c r="C411" s="562"/>
      <c r="D411" s="562"/>
      <c r="E411" s="563"/>
    </row>
    <row r="412" spans="1:5" x14ac:dyDescent="0.2">
      <c r="A412" s="562"/>
      <c r="B412" s="562"/>
      <c r="C412" s="562"/>
      <c r="D412" s="562"/>
      <c r="E412" s="563"/>
    </row>
    <row r="413" spans="1:5" x14ac:dyDescent="0.2">
      <c r="A413" s="562"/>
      <c r="B413" s="562"/>
      <c r="C413" s="562"/>
      <c r="D413" s="562"/>
      <c r="E413" s="563"/>
    </row>
    <row r="414" spans="1:5" x14ac:dyDescent="0.2">
      <c r="A414" s="562"/>
      <c r="B414" s="562"/>
      <c r="C414" s="562"/>
      <c r="D414" s="562"/>
      <c r="E414" s="563"/>
    </row>
    <row r="415" spans="1:5" x14ac:dyDescent="0.2">
      <c r="A415" s="562"/>
      <c r="B415" s="562"/>
      <c r="C415" s="562"/>
      <c r="D415" s="562"/>
      <c r="E415" s="563"/>
    </row>
    <row r="416" spans="1:5" x14ac:dyDescent="0.2">
      <c r="A416" s="562"/>
      <c r="B416" s="562"/>
      <c r="C416" s="562"/>
      <c r="D416" s="562"/>
      <c r="E416" s="563"/>
    </row>
    <row r="417" spans="1:5" x14ac:dyDescent="0.2">
      <c r="A417" s="562"/>
      <c r="B417" s="562"/>
      <c r="C417" s="562"/>
      <c r="D417" s="562"/>
      <c r="E417" s="563"/>
    </row>
    <row r="418" spans="1:5" x14ac:dyDescent="0.2">
      <c r="A418" s="564"/>
      <c r="B418" s="562"/>
      <c r="C418" s="562"/>
      <c r="D418" s="562"/>
      <c r="E418" s="563"/>
    </row>
    <row r="419" spans="1:5" x14ac:dyDescent="0.2">
      <c r="A419" s="562"/>
      <c r="B419" s="562"/>
      <c r="C419" s="562"/>
      <c r="D419" s="562"/>
      <c r="E419" s="563"/>
    </row>
    <row r="420" spans="1:5" x14ac:dyDescent="0.2">
      <c r="A420" s="562"/>
      <c r="B420" s="562"/>
      <c r="C420" s="562"/>
      <c r="D420" s="562"/>
      <c r="E420" s="563"/>
    </row>
    <row r="421" spans="1:5" x14ac:dyDescent="0.2">
      <c r="A421" s="562"/>
      <c r="B421" s="562"/>
      <c r="C421" s="562"/>
      <c r="D421" s="562"/>
      <c r="E421" s="563"/>
    </row>
    <row r="422" spans="1:5" x14ac:dyDescent="0.2">
      <c r="A422" s="562"/>
      <c r="B422" s="562"/>
      <c r="C422" s="562"/>
      <c r="D422" s="562"/>
      <c r="E422" s="563"/>
    </row>
    <row r="423" spans="1:5" x14ac:dyDescent="0.2">
      <c r="A423" s="562"/>
      <c r="B423" s="562"/>
      <c r="C423" s="562"/>
      <c r="D423" s="562"/>
      <c r="E423" s="563"/>
    </row>
    <row r="424" spans="1:5" x14ac:dyDescent="0.2">
      <c r="A424" s="564"/>
      <c r="B424" s="562"/>
      <c r="C424" s="562"/>
      <c r="D424" s="562"/>
      <c r="E424" s="563"/>
    </row>
    <row r="425" spans="1:5" x14ac:dyDescent="0.2">
      <c r="A425" s="562"/>
      <c r="B425" s="562"/>
      <c r="C425" s="562"/>
      <c r="D425" s="562"/>
      <c r="E425" s="563"/>
    </row>
    <row r="426" spans="1:5" x14ac:dyDescent="0.2">
      <c r="A426" s="562"/>
      <c r="B426" s="562"/>
      <c r="C426" s="562"/>
      <c r="D426" s="562"/>
      <c r="E426" s="563"/>
    </row>
    <row r="427" spans="1:5" x14ac:dyDescent="0.2">
      <c r="A427" s="565" t="s">
        <v>1045</v>
      </c>
      <c r="B427" s="565"/>
      <c r="C427" s="565"/>
      <c r="D427" s="565"/>
      <c r="E427" s="567">
        <f>((E401-E402-E403-E404-E405)+(E406+E407+E408+E409+E410+E411+E412+E413+E414))-((E415-E416-E417)+(E418+E419+E420))-((E421-E422-E423)+(E424+E425+E426))</f>
        <v>293801</v>
      </c>
    </row>
    <row r="428" spans="1:5" x14ac:dyDescent="0.2">
      <c r="A428" s="562" t="s">
        <v>1005</v>
      </c>
      <c r="B428" s="562" t="s">
        <v>1005</v>
      </c>
      <c r="C428" s="562">
        <v>2700</v>
      </c>
      <c r="D428" s="571" t="s">
        <v>1037</v>
      </c>
      <c r="E428" s="563">
        <f>SUMIFS('Accounting data'!$G$2:$G$37000,'Accounting data'!$J$2:$J$37000,"27*",'Accounting data'!$K$2:$K$37000,"63*")+SUMIFS('Accounting data'!$G$2:$G$37000,'Accounting data'!$J$2:$J$37000,"27*",'Accounting data'!$K$2:$K$37000,"64*")+SUMIFS('Accounting data'!$G$2:$G$37000,'Accounting data'!$J$2:$J$37000,"27*",'Accounting data'!$K$2:$K$37000,"65*")</f>
        <v>1240</v>
      </c>
    </row>
    <row r="429" spans="1:5" x14ac:dyDescent="0.2">
      <c r="A429" s="562" t="s">
        <v>1006</v>
      </c>
      <c r="B429" s="562" t="s">
        <v>1005</v>
      </c>
      <c r="C429" s="562">
        <v>2700</v>
      </c>
      <c r="D429" s="562">
        <v>6300</v>
      </c>
      <c r="E429" s="563">
        <f>SUMIFS('Accounting data'!$G$2:$G$37000,'Accounting data'!$H$2:$H$37000,"9999*",'Accounting data'!$J$2:$J$37000,"27*",'Accounting data'!$K$2:$K$37000,"63*")</f>
        <v>0</v>
      </c>
    </row>
    <row r="430" spans="1:5" x14ac:dyDescent="0.2">
      <c r="A430" s="562" t="s">
        <v>1006</v>
      </c>
      <c r="B430" s="562" t="s">
        <v>1005</v>
      </c>
      <c r="C430" s="562">
        <v>2700</v>
      </c>
      <c r="D430" s="562">
        <v>6400</v>
      </c>
      <c r="E430" s="563">
        <f>SUMIFS('Accounting data'!$G$2:$G$37000,'Accounting data'!$H$2:$H$37000,"9999*",'Accounting data'!$J$2:$J$37000,"27*",'Accounting data'!$K$2:$K$37000,"64*")</f>
        <v>0</v>
      </c>
    </row>
    <row r="431" spans="1:5" x14ac:dyDescent="0.2">
      <c r="A431" s="562" t="s">
        <v>1006</v>
      </c>
      <c r="B431" s="562" t="s">
        <v>1005</v>
      </c>
      <c r="C431" s="562">
        <v>2700</v>
      </c>
      <c r="D431" s="562">
        <v>6500</v>
      </c>
      <c r="E431" s="563">
        <f>SUMIFS('Accounting data'!$G$2:$G$37000,'Accounting data'!$H$2:$H$37000,"9999*",'Accounting data'!$J$2:$J$37000,"27*",'Accounting data'!$K$2:$K$37000,"65*")</f>
        <v>0</v>
      </c>
    </row>
    <row r="432" spans="1:5" x14ac:dyDescent="0.2">
      <c r="A432" s="562" t="s">
        <v>1005</v>
      </c>
      <c r="B432" s="562" t="s">
        <v>1007</v>
      </c>
      <c r="C432" s="562">
        <v>2700</v>
      </c>
      <c r="D432" s="571" t="s">
        <v>1037</v>
      </c>
      <c r="E432" s="563">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4" t="s">
        <v>1006</v>
      </c>
      <c r="B433" s="562" t="s">
        <v>1007</v>
      </c>
      <c r="C433" s="562">
        <v>2700</v>
      </c>
      <c r="D433" s="562">
        <v>6300</v>
      </c>
      <c r="E433" s="563">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4" t="s">
        <v>1006</v>
      </c>
      <c r="B434" s="562" t="s">
        <v>1007</v>
      </c>
      <c r="C434" s="562">
        <v>2700</v>
      </c>
      <c r="D434" s="562">
        <v>6400</v>
      </c>
      <c r="E434" s="563">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4" t="s">
        <v>1006</v>
      </c>
      <c r="B435" s="562" t="s">
        <v>1007</v>
      </c>
      <c r="C435" s="562">
        <v>2700</v>
      </c>
      <c r="D435" s="562">
        <v>6500</v>
      </c>
      <c r="E435" s="563">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2"/>
      <c r="B436" s="562"/>
      <c r="C436" s="562"/>
      <c r="D436" s="562"/>
      <c r="E436" s="563"/>
    </row>
    <row r="437" spans="1:5" x14ac:dyDescent="0.2">
      <c r="A437" s="562"/>
      <c r="B437" s="562"/>
      <c r="C437" s="562"/>
      <c r="D437" s="562"/>
      <c r="E437" s="563"/>
    </row>
    <row r="438" spans="1:5" x14ac:dyDescent="0.2">
      <c r="A438" s="562"/>
      <c r="B438" s="562"/>
      <c r="C438" s="562"/>
      <c r="D438" s="562"/>
      <c r="E438" s="563"/>
    </row>
    <row r="439" spans="1:5" x14ac:dyDescent="0.2">
      <c r="A439" s="562"/>
      <c r="B439" s="562"/>
      <c r="C439" s="562"/>
      <c r="D439" s="562"/>
      <c r="E439" s="563"/>
    </row>
    <row r="440" spans="1:5" x14ac:dyDescent="0.2">
      <c r="A440" s="562"/>
      <c r="B440" s="562"/>
      <c r="C440" s="562"/>
      <c r="D440" s="562"/>
      <c r="E440" s="563"/>
    </row>
    <row r="441" spans="1:5" x14ac:dyDescent="0.2">
      <c r="A441" s="562"/>
      <c r="B441" s="562"/>
      <c r="C441" s="562"/>
      <c r="D441" s="562"/>
      <c r="E441" s="563"/>
    </row>
    <row r="442" spans="1:5" x14ac:dyDescent="0.2">
      <c r="A442" s="562"/>
      <c r="B442" s="562"/>
      <c r="C442" s="562"/>
      <c r="D442" s="562"/>
      <c r="E442" s="563"/>
    </row>
    <row r="443" spans="1:5" x14ac:dyDescent="0.2">
      <c r="A443" s="562"/>
      <c r="B443" s="562"/>
      <c r="C443" s="562"/>
      <c r="D443" s="562"/>
      <c r="E443" s="563"/>
    </row>
    <row r="444" spans="1:5" x14ac:dyDescent="0.2">
      <c r="A444" s="562"/>
      <c r="B444" s="562"/>
      <c r="C444" s="562"/>
      <c r="D444" s="562"/>
      <c r="E444" s="563"/>
    </row>
    <row r="445" spans="1:5" x14ac:dyDescent="0.2">
      <c r="A445" s="562"/>
      <c r="B445" s="562"/>
      <c r="C445" s="562"/>
      <c r="D445" s="562"/>
      <c r="E445" s="563"/>
    </row>
    <row r="446" spans="1:5" x14ac:dyDescent="0.2">
      <c r="A446" s="562"/>
      <c r="B446" s="562"/>
      <c r="C446" s="562"/>
      <c r="D446" s="562"/>
      <c r="E446" s="563"/>
    </row>
    <row r="447" spans="1:5" x14ac:dyDescent="0.2">
      <c r="A447" s="562"/>
      <c r="B447" s="562"/>
      <c r="C447" s="562"/>
      <c r="D447" s="562"/>
      <c r="E447" s="563"/>
    </row>
    <row r="448" spans="1:5" x14ac:dyDescent="0.2">
      <c r="A448" s="562"/>
      <c r="B448" s="562"/>
      <c r="C448" s="562"/>
      <c r="D448" s="562"/>
      <c r="E448" s="563"/>
    </row>
    <row r="449" spans="1:5" x14ac:dyDescent="0.2">
      <c r="A449" s="562"/>
      <c r="B449" s="562"/>
      <c r="C449" s="562"/>
      <c r="D449" s="562"/>
      <c r="E449" s="563"/>
    </row>
    <row r="450" spans="1:5" x14ac:dyDescent="0.2">
      <c r="A450" s="562"/>
      <c r="B450" s="562"/>
      <c r="C450" s="562"/>
      <c r="D450" s="562"/>
      <c r="E450" s="563"/>
    </row>
    <row r="451" spans="1:5" x14ac:dyDescent="0.2">
      <c r="A451" s="562"/>
      <c r="B451" s="562"/>
      <c r="C451" s="562"/>
      <c r="D451" s="562"/>
      <c r="E451" s="563"/>
    </row>
    <row r="452" spans="1:5" x14ac:dyDescent="0.2">
      <c r="A452" s="562"/>
      <c r="B452" s="562"/>
      <c r="C452" s="562"/>
      <c r="D452" s="562"/>
      <c r="E452" s="563"/>
    </row>
    <row r="453" spans="1:5" x14ac:dyDescent="0.2">
      <c r="A453" s="562"/>
      <c r="B453" s="562"/>
      <c r="C453" s="562"/>
      <c r="D453" s="562"/>
      <c r="E453" s="563"/>
    </row>
    <row r="454" spans="1:5" x14ac:dyDescent="0.2">
      <c r="A454" s="565" t="s">
        <v>1046</v>
      </c>
      <c r="B454" s="565"/>
      <c r="C454" s="565"/>
      <c r="D454" s="565"/>
      <c r="E454" s="567">
        <f>((E428-E429-E430-E431-E432)+(E433+E434+E435+E436+E437+E438+E439+E440+E441))-((E442-E443-E444)+(E445+E446+E447))-((E448-E449-E450)+(E451+E452+E453))</f>
        <v>1240</v>
      </c>
    </row>
    <row r="455" spans="1:5" x14ac:dyDescent="0.2">
      <c r="A455" s="562" t="s">
        <v>1005</v>
      </c>
      <c r="B455" s="562" t="s">
        <v>1005</v>
      </c>
      <c r="C455" s="562">
        <v>3100</v>
      </c>
      <c r="D455" s="571" t="s">
        <v>1037</v>
      </c>
      <c r="E455" s="563">
        <f>SUMIFS('Accounting data'!$G$2:$G$37000,'Accounting data'!$J$2:$J$37000,"31*",'Accounting data'!$K$2:$K$37000,"63*")+SUMIFS('Accounting data'!$G$2:$G$37000,'Accounting data'!$J$2:$J$37000,"31*",'Accounting data'!$K$2:$K$37000,"64*")+SUMIFS('Accounting data'!$G$2:$G$37000,'Accounting data'!$J$2:$J$37000,"31*",'Accounting data'!$K$2:$K$37000,"65*")</f>
        <v>357</v>
      </c>
    </row>
    <row r="456" spans="1:5" x14ac:dyDescent="0.2">
      <c r="A456" s="562" t="s">
        <v>1006</v>
      </c>
      <c r="B456" s="562" t="s">
        <v>1005</v>
      </c>
      <c r="C456" s="562">
        <v>3100</v>
      </c>
      <c r="D456" s="562">
        <v>6300</v>
      </c>
      <c r="E456" s="563">
        <f>SUMIFS('Accounting data'!$G$2:$G$37000,'Accounting data'!$H$2:$H$37000,"9999*",'Accounting data'!$J$2:$J$37000,"31*",'Accounting data'!$K$2:$K$37000,"63*")</f>
        <v>0</v>
      </c>
    </row>
    <row r="457" spans="1:5" x14ac:dyDescent="0.2">
      <c r="A457" s="562" t="s">
        <v>1006</v>
      </c>
      <c r="B457" s="562" t="s">
        <v>1005</v>
      </c>
      <c r="C457" s="562">
        <v>3100</v>
      </c>
      <c r="D457" s="562">
        <v>6400</v>
      </c>
      <c r="E457" s="563">
        <f>SUMIFS('Accounting data'!$G$2:$G$37000,'Accounting data'!$H$2:$H$37000,"9999*",'Accounting data'!$J$2:$J$37000,"31*",'Accounting data'!$K$2:$K$37000,"64*")</f>
        <v>0</v>
      </c>
    </row>
    <row r="458" spans="1:5" x14ac:dyDescent="0.2">
      <c r="A458" s="562" t="s">
        <v>1006</v>
      </c>
      <c r="B458" s="562" t="s">
        <v>1005</v>
      </c>
      <c r="C458" s="562">
        <v>3100</v>
      </c>
      <c r="D458" s="562">
        <v>6500</v>
      </c>
      <c r="E458" s="563">
        <f>SUMIFS('Accounting data'!$G$2:$G$37000,'Accounting data'!$H$2:$H$37000,"9999*",'Accounting data'!$J$2:$J$37000,"31*",'Accounting data'!$K$2:$K$37000,"65*")</f>
        <v>0</v>
      </c>
    </row>
    <row r="459" spans="1:5" x14ac:dyDescent="0.2">
      <c r="A459" s="562" t="s">
        <v>1005</v>
      </c>
      <c r="B459" s="562" t="s">
        <v>1007</v>
      </c>
      <c r="C459" s="562">
        <v>3100</v>
      </c>
      <c r="D459" s="571" t="s">
        <v>1037</v>
      </c>
      <c r="E459" s="563">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4" t="s">
        <v>1006</v>
      </c>
      <c r="B460" s="562" t="s">
        <v>1007</v>
      </c>
      <c r="C460" s="562">
        <v>3100</v>
      </c>
      <c r="D460" s="562">
        <v>6300</v>
      </c>
      <c r="E460" s="563">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4" t="s">
        <v>1006</v>
      </c>
      <c r="B461" s="562" t="s">
        <v>1007</v>
      </c>
      <c r="C461" s="562">
        <v>3100</v>
      </c>
      <c r="D461" s="562">
        <v>6400</v>
      </c>
      <c r="E461" s="563">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4" t="s">
        <v>1006</v>
      </c>
      <c r="B462" s="562" t="s">
        <v>1007</v>
      </c>
      <c r="C462" s="562">
        <v>3100</v>
      </c>
      <c r="D462" s="562">
        <v>6500</v>
      </c>
      <c r="E462" s="563">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2"/>
      <c r="B463" s="562"/>
      <c r="C463" s="562"/>
      <c r="D463" s="562"/>
      <c r="E463" s="563"/>
    </row>
    <row r="464" spans="1:5" x14ac:dyDescent="0.2">
      <c r="A464" s="562"/>
      <c r="B464" s="562"/>
      <c r="C464" s="562"/>
      <c r="D464" s="562"/>
      <c r="E464" s="563"/>
    </row>
    <row r="465" spans="1:5" x14ac:dyDescent="0.2">
      <c r="A465" s="562"/>
      <c r="B465" s="562"/>
      <c r="C465" s="562"/>
      <c r="D465" s="562"/>
      <c r="E465" s="563"/>
    </row>
    <row r="466" spans="1:5" x14ac:dyDescent="0.2">
      <c r="A466" s="562"/>
      <c r="B466" s="562"/>
      <c r="C466" s="562"/>
      <c r="D466" s="562"/>
      <c r="E466" s="563"/>
    </row>
    <row r="467" spans="1:5" x14ac:dyDescent="0.2">
      <c r="A467" s="562"/>
      <c r="B467" s="562"/>
      <c r="C467" s="562"/>
      <c r="D467" s="562"/>
      <c r="E467" s="563"/>
    </row>
    <row r="468" spans="1:5" x14ac:dyDescent="0.2">
      <c r="A468" s="562"/>
      <c r="B468" s="562"/>
      <c r="C468" s="562"/>
      <c r="D468" s="562"/>
      <c r="E468" s="563"/>
    </row>
    <row r="469" spans="1:5" x14ac:dyDescent="0.2">
      <c r="A469" s="562"/>
      <c r="B469" s="562"/>
      <c r="C469" s="562"/>
      <c r="D469" s="562"/>
      <c r="E469" s="563"/>
    </row>
    <row r="470" spans="1:5" x14ac:dyDescent="0.2">
      <c r="A470" s="562"/>
      <c r="B470" s="562"/>
      <c r="C470" s="562"/>
      <c r="D470" s="562"/>
      <c r="E470" s="563"/>
    </row>
    <row r="471" spans="1:5" x14ac:dyDescent="0.2">
      <c r="A471" s="562"/>
      <c r="B471" s="562"/>
      <c r="C471" s="562"/>
      <c r="D471" s="562"/>
      <c r="E471" s="563"/>
    </row>
    <row r="472" spans="1:5" x14ac:dyDescent="0.2">
      <c r="A472" s="564"/>
      <c r="B472" s="562"/>
      <c r="C472" s="562"/>
      <c r="D472" s="562"/>
      <c r="E472" s="563"/>
    </row>
    <row r="473" spans="1:5" x14ac:dyDescent="0.2">
      <c r="A473" s="562"/>
      <c r="B473" s="562"/>
      <c r="C473" s="562"/>
      <c r="D473" s="562"/>
      <c r="E473" s="563"/>
    </row>
    <row r="474" spans="1:5" x14ac:dyDescent="0.2">
      <c r="A474" s="562"/>
      <c r="B474" s="562"/>
      <c r="C474" s="562"/>
      <c r="D474" s="562"/>
      <c r="E474" s="563"/>
    </row>
    <row r="475" spans="1:5" x14ac:dyDescent="0.2">
      <c r="A475" s="562"/>
      <c r="B475" s="562"/>
      <c r="C475" s="562"/>
      <c r="D475" s="562"/>
      <c r="E475" s="563"/>
    </row>
    <row r="476" spans="1:5" x14ac:dyDescent="0.2">
      <c r="A476" s="562"/>
      <c r="B476" s="562"/>
      <c r="C476" s="562"/>
      <c r="D476" s="562"/>
      <c r="E476" s="563"/>
    </row>
    <row r="477" spans="1:5" x14ac:dyDescent="0.2">
      <c r="A477" s="562"/>
      <c r="B477" s="562"/>
      <c r="C477" s="562"/>
      <c r="D477" s="562"/>
      <c r="E477" s="563"/>
    </row>
    <row r="478" spans="1:5" x14ac:dyDescent="0.2">
      <c r="A478" s="564"/>
      <c r="B478" s="562"/>
      <c r="C478" s="562"/>
      <c r="D478" s="562"/>
      <c r="E478" s="563"/>
    </row>
    <row r="479" spans="1:5" x14ac:dyDescent="0.2">
      <c r="A479" s="562"/>
      <c r="B479" s="562"/>
      <c r="C479" s="562"/>
      <c r="D479" s="562"/>
      <c r="E479" s="563"/>
    </row>
    <row r="480" spans="1:5" x14ac:dyDescent="0.2">
      <c r="A480" s="562"/>
      <c r="B480" s="562"/>
      <c r="C480" s="562"/>
      <c r="D480" s="562"/>
      <c r="E480" s="563"/>
    </row>
    <row r="481" spans="1:5" x14ac:dyDescent="0.2">
      <c r="A481" s="565" t="s">
        <v>1047</v>
      </c>
      <c r="B481" s="565"/>
      <c r="C481" s="565"/>
      <c r="D481" s="565"/>
      <c r="E481" s="567">
        <f>((E455-E456-E457-E458-E459)+(E460+E461+E462+E463+E464+E465+E466+E467+E468))-((E469-E470-E471)+(E472+E473+E474))-((E475-E476-E477)+(E478+E479+E480))</f>
        <v>357</v>
      </c>
    </row>
    <row r="482" spans="1:5" x14ac:dyDescent="0.2">
      <c r="A482" s="562"/>
      <c r="B482" s="562"/>
      <c r="C482" s="562"/>
      <c r="D482" s="571"/>
      <c r="E482" s="563"/>
    </row>
    <row r="483" spans="1:5" x14ac:dyDescent="0.2">
      <c r="A483" s="562"/>
      <c r="B483" s="562"/>
      <c r="C483" s="562"/>
      <c r="D483" s="562"/>
      <c r="E483" s="563"/>
    </row>
    <row r="484" spans="1:5" x14ac:dyDescent="0.2">
      <c r="A484" s="562"/>
      <c r="B484" s="562"/>
      <c r="C484" s="562"/>
      <c r="D484" s="562"/>
      <c r="E484" s="563"/>
    </row>
    <row r="485" spans="1:5" x14ac:dyDescent="0.2">
      <c r="A485" s="562"/>
      <c r="B485" s="562"/>
      <c r="C485" s="562"/>
      <c r="D485" s="562"/>
      <c r="E485" s="563"/>
    </row>
    <row r="486" spans="1:5" x14ac:dyDescent="0.2">
      <c r="A486" s="562"/>
      <c r="B486" s="562"/>
      <c r="C486" s="562"/>
      <c r="D486" s="571"/>
      <c r="E486" s="563"/>
    </row>
    <row r="487" spans="1:5" x14ac:dyDescent="0.2">
      <c r="A487" s="564"/>
      <c r="B487" s="562"/>
      <c r="C487" s="562"/>
      <c r="D487" s="562"/>
      <c r="E487" s="563"/>
    </row>
    <row r="488" spans="1:5" x14ac:dyDescent="0.2">
      <c r="A488" s="564"/>
      <c r="B488" s="562"/>
      <c r="C488" s="562"/>
      <c r="D488" s="562"/>
      <c r="E488" s="563"/>
    </row>
    <row r="489" spans="1:5" x14ac:dyDescent="0.2">
      <c r="A489" s="564"/>
      <c r="B489" s="562"/>
      <c r="C489" s="562"/>
      <c r="D489" s="562"/>
      <c r="E489" s="563"/>
    </row>
    <row r="490" spans="1:5" x14ac:dyDescent="0.2">
      <c r="A490" s="562"/>
      <c r="B490" s="562"/>
      <c r="C490" s="562"/>
      <c r="D490" s="562"/>
      <c r="E490" s="563"/>
    </row>
    <row r="491" spans="1:5" x14ac:dyDescent="0.2">
      <c r="A491" s="562"/>
      <c r="B491" s="562"/>
      <c r="C491" s="562"/>
      <c r="D491" s="562"/>
      <c r="E491" s="563"/>
    </row>
    <row r="492" spans="1:5" x14ac:dyDescent="0.2">
      <c r="A492" s="562"/>
      <c r="B492" s="562"/>
      <c r="C492" s="562"/>
      <c r="D492" s="562"/>
      <c r="E492" s="563"/>
    </row>
    <row r="493" spans="1:5" x14ac:dyDescent="0.2">
      <c r="A493" s="562"/>
      <c r="B493" s="562"/>
      <c r="C493" s="562"/>
      <c r="D493" s="562"/>
      <c r="E493" s="563"/>
    </row>
    <row r="494" spans="1:5" x14ac:dyDescent="0.2">
      <c r="A494" s="562"/>
      <c r="B494" s="562"/>
      <c r="C494" s="562"/>
      <c r="D494" s="562"/>
      <c r="E494" s="563"/>
    </row>
    <row r="495" spans="1:5" x14ac:dyDescent="0.2">
      <c r="A495" s="562"/>
      <c r="B495" s="562"/>
      <c r="C495" s="562"/>
      <c r="D495" s="562"/>
      <c r="E495" s="563"/>
    </row>
    <row r="496" spans="1:5" x14ac:dyDescent="0.2">
      <c r="A496" s="562"/>
      <c r="B496" s="562"/>
      <c r="C496" s="562"/>
      <c r="D496" s="562"/>
      <c r="E496" s="563"/>
    </row>
    <row r="497" spans="1:5" x14ac:dyDescent="0.2">
      <c r="A497" s="562"/>
      <c r="B497" s="562"/>
      <c r="C497" s="562"/>
      <c r="D497" s="562"/>
      <c r="E497" s="563"/>
    </row>
    <row r="498" spans="1:5" x14ac:dyDescent="0.2">
      <c r="A498" s="562"/>
      <c r="B498" s="562"/>
      <c r="C498" s="562"/>
      <c r="D498" s="562"/>
      <c r="E498" s="563"/>
    </row>
    <row r="499" spans="1:5" x14ac:dyDescent="0.2">
      <c r="A499" s="564"/>
      <c r="B499" s="562"/>
      <c r="C499" s="562"/>
      <c r="D499" s="562"/>
      <c r="E499" s="563"/>
    </row>
    <row r="500" spans="1:5" x14ac:dyDescent="0.2">
      <c r="A500" s="562"/>
      <c r="B500" s="562"/>
      <c r="C500" s="562"/>
      <c r="D500" s="562"/>
      <c r="E500" s="563"/>
    </row>
    <row r="501" spans="1:5" x14ac:dyDescent="0.2">
      <c r="A501" s="562"/>
      <c r="B501" s="562"/>
      <c r="C501" s="562"/>
      <c r="D501" s="562"/>
      <c r="E501" s="563"/>
    </row>
    <row r="502" spans="1:5" x14ac:dyDescent="0.2">
      <c r="A502" s="562"/>
      <c r="B502" s="562"/>
      <c r="C502" s="562"/>
      <c r="D502" s="562"/>
      <c r="E502" s="563"/>
    </row>
    <row r="503" spans="1:5" x14ac:dyDescent="0.2">
      <c r="A503" s="562"/>
      <c r="B503" s="562"/>
      <c r="C503" s="562"/>
      <c r="D503" s="562"/>
      <c r="E503" s="563"/>
    </row>
    <row r="504" spans="1:5" x14ac:dyDescent="0.2">
      <c r="A504" s="562"/>
      <c r="B504" s="562"/>
      <c r="C504" s="562"/>
      <c r="D504" s="562"/>
      <c r="E504" s="563"/>
    </row>
    <row r="505" spans="1:5" x14ac:dyDescent="0.2">
      <c r="A505" s="564"/>
      <c r="B505" s="562"/>
      <c r="C505" s="562"/>
      <c r="D505" s="562"/>
      <c r="E505" s="563"/>
    </row>
    <row r="506" spans="1:5" x14ac:dyDescent="0.2">
      <c r="A506" s="562"/>
      <c r="B506" s="562"/>
      <c r="C506" s="562"/>
      <c r="D506" s="562"/>
      <c r="E506" s="563"/>
    </row>
    <row r="507" spans="1:5" x14ac:dyDescent="0.2">
      <c r="A507" s="562"/>
      <c r="B507" s="562"/>
      <c r="C507" s="562"/>
      <c r="D507" s="562"/>
      <c r="E507" s="563"/>
    </row>
    <row r="508" spans="1:5" x14ac:dyDescent="0.2">
      <c r="A508" s="565"/>
      <c r="B508" s="565"/>
      <c r="C508" s="565"/>
      <c r="D508" s="565"/>
      <c r="E508" s="567"/>
    </row>
    <row r="509" spans="1:5" x14ac:dyDescent="0.2">
      <c r="A509" s="562" t="s">
        <v>1005</v>
      </c>
      <c r="B509" s="562" t="s">
        <v>1005</v>
      </c>
      <c r="C509" s="562">
        <v>3400</v>
      </c>
      <c r="D509" s="571" t="s">
        <v>1037</v>
      </c>
      <c r="E509" s="563">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2" t="s">
        <v>1006</v>
      </c>
      <c r="B510" s="562" t="s">
        <v>1005</v>
      </c>
      <c r="C510" s="562">
        <v>3400</v>
      </c>
      <c r="D510" s="562">
        <v>6300</v>
      </c>
      <c r="E510" s="563">
        <f>SUMIFS('Accounting data'!$G$2:$G$37000,'Accounting data'!$H$2:$H$37000,"9999*",'Accounting data'!$J$2:$J$37000,"34*",'Accounting data'!$K$2:$K$37000,"63*")</f>
        <v>0</v>
      </c>
    </row>
    <row r="511" spans="1:5" x14ac:dyDescent="0.2">
      <c r="A511" s="562" t="s">
        <v>1006</v>
      </c>
      <c r="B511" s="562" t="s">
        <v>1005</v>
      </c>
      <c r="C511" s="562">
        <v>3400</v>
      </c>
      <c r="D511" s="562">
        <v>6400</v>
      </c>
      <c r="E511" s="563">
        <f>SUMIFS('Accounting data'!$G$2:$G$37000,'Accounting data'!$H$2:$H$37000,"9999*",'Accounting data'!$J$2:$J$37000,"34*",'Accounting data'!$K$2:$K$37000,"64*")</f>
        <v>0</v>
      </c>
    </row>
    <row r="512" spans="1:5" x14ac:dyDescent="0.2">
      <c r="A512" s="562" t="s">
        <v>1006</v>
      </c>
      <c r="B512" s="562" t="s">
        <v>1005</v>
      </c>
      <c r="C512" s="562">
        <v>3400</v>
      </c>
      <c r="D512" s="562">
        <v>6500</v>
      </c>
      <c r="E512" s="563">
        <f>SUMIFS('Accounting data'!$G$2:$G$37000,'Accounting data'!$H$2:$H$37000,"9999*",'Accounting data'!$J$2:$J$37000,"34*",'Accounting data'!$K$2:$K$37000,"65*")</f>
        <v>0</v>
      </c>
    </row>
    <row r="513" spans="1:5" x14ac:dyDescent="0.2">
      <c r="A513" s="562" t="s">
        <v>1005</v>
      </c>
      <c r="B513" s="562" t="s">
        <v>1007</v>
      </c>
      <c r="C513" s="562">
        <v>3400</v>
      </c>
      <c r="D513" s="571" t="s">
        <v>1037</v>
      </c>
      <c r="E513" s="563">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4" t="s">
        <v>1006</v>
      </c>
      <c r="B514" s="562" t="s">
        <v>1007</v>
      </c>
      <c r="C514" s="562">
        <v>3400</v>
      </c>
      <c r="D514" s="562">
        <v>6300</v>
      </c>
      <c r="E514" s="563">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4" t="s">
        <v>1006</v>
      </c>
      <c r="B515" s="562" t="s">
        <v>1007</v>
      </c>
      <c r="C515" s="562">
        <v>3400</v>
      </c>
      <c r="D515" s="562">
        <v>6400</v>
      </c>
      <c r="E515" s="563">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4" t="s">
        <v>1006</v>
      </c>
      <c r="B516" s="562" t="s">
        <v>1007</v>
      </c>
      <c r="C516" s="562">
        <v>3400</v>
      </c>
      <c r="D516" s="562">
        <v>6500</v>
      </c>
      <c r="E516" s="563">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2"/>
      <c r="B517" s="562"/>
      <c r="C517" s="562"/>
      <c r="D517" s="562"/>
      <c r="E517" s="563"/>
    </row>
    <row r="518" spans="1:5" x14ac:dyDescent="0.2">
      <c r="A518" s="562"/>
      <c r="B518" s="562"/>
      <c r="C518" s="562"/>
      <c r="D518" s="562"/>
      <c r="E518" s="563"/>
    </row>
    <row r="519" spans="1:5" x14ac:dyDescent="0.2">
      <c r="A519" s="562"/>
      <c r="B519" s="562"/>
      <c r="C519" s="562"/>
      <c r="D519" s="562"/>
      <c r="E519" s="563"/>
    </row>
    <row r="520" spans="1:5" x14ac:dyDescent="0.2">
      <c r="A520" s="562"/>
      <c r="B520" s="562"/>
      <c r="C520" s="562"/>
      <c r="D520" s="562"/>
      <c r="E520" s="563"/>
    </row>
    <row r="521" spans="1:5" x14ac:dyDescent="0.2">
      <c r="A521" s="562"/>
      <c r="B521" s="562"/>
      <c r="C521" s="562"/>
      <c r="D521" s="562"/>
      <c r="E521" s="563"/>
    </row>
    <row r="522" spans="1:5" x14ac:dyDescent="0.2">
      <c r="A522" s="562"/>
      <c r="B522" s="562"/>
      <c r="C522" s="562"/>
      <c r="D522" s="562"/>
      <c r="E522" s="563"/>
    </row>
    <row r="523" spans="1:5" x14ac:dyDescent="0.2">
      <c r="A523" s="562"/>
      <c r="B523" s="562"/>
      <c r="C523" s="562"/>
      <c r="D523" s="562"/>
      <c r="E523" s="563"/>
    </row>
    <row r="524" spans="1:5" x14ac:dyDescent="0.2">
      <c r="A524" s="562"/>
      <c r="B524" s="562"/>
      <c r="C524" s="562"/>
      <c r="D524" s="562"/>
      <c r="E524" s="563"/>
    </row>
    <row r="525" spans="1:5" x14ac:dyDescent="0.2">
      <c r="A525" s="562"/>
      <c r="B525" s="562"/>
      <c r="C525" s="562"/>
      <c r="D525" s="562"/>
      <c r="E525" s="563"/>
    </row>
    <row r="526" spans="1:5" x14ac:dyDescent="0.2">
      <c r="A526" s="564"/>
      <c r="B526" s="562"/>
      <c r="C526" s="562"/>
      <c r="D526" s="562"/>
      <c r="E526" s="563"/>
    </row>
    <row r="527" spans="1:5" x14ac:dyDescent="0.2">
      <c r="A527" s="562"/>
      <c r="B527" s="562"/>
      <c r="C527" s="562"/>
      <c r="D527" s="562"/>
      <c r="E527" s="563"/>
    </row>
    <row r="528" spans="1:5" x14ac:dyDescent="0.2">
      <c r="A528" s="562"/>
      <c r="B528" s="562"/>
      <c r="C528" s="562"/>
      <c r="D528" s="562"/>
      <c r="E528" s="563"/>
    </row>
    <row r="529" spans="1:5" x14ac:dyDescent="0.2">
      <c r="A529" s="562"/>
      <c r="B529" s="562"/>
      <c r="C529" s="562"/>
      <c r="D529" s="562"/>
      <c r="E529" s="563"/>
    </row>
    <row r="530" spans="1:5" x14ac:dyDescent="0.2">
      <c r="A530" s="562"/>
      <c r="B530" s="562"/>
      <c r="C530" s="562"/>
      <c r="D530" s="562"/>
      <c r="E530" s="563"/>
    </row>
    <row r="531" spans="1:5" x14ac:dyDescent="0.2">
      <c r="A531" s="562"/>
      <c r="B531" s="562"/>
      <c r="C531" s="562"/>
      <c r="D531" s="562"/>
      <c r="E531" s="563"/>
    </row>
    <row r="532" spans="1:5" x14ac:dyDescent="0.2">
      <c r="A532" s="564"/>
      <c r="B532" s="562"/>
      <c r="C532" s="562"/>
      <c r="D532" s="562"/>
      <c r="E532" s="563"/>
    </row>
    <row r="533" spans="1:5" x14ac:dyDescent="0.2">
      <c r="A533" s="562"/>
      <c r="B533" s="562"/>
      <c r="C533" s="562"/>
      <c r="D533" s="562"/>
      <c r="E533" s="563"/>
    </row>
    <row r="534" spans="1:5" x14ac:dyDescent="0.2">
      <c r="A534" s="562"/>
      <c r="B534" s="562"/>
      <c r="C534" s="562"/>
      <c r="D534" s="562"/>
      <c r="E534" s="563"/>
    </row>
    <row r="535" spans="1:5" x14ac:dyDescent="0.2">
      <c r="A535" s="565" t="s">
        <v>1048</v>
      </c>
      <c r="B535" s="565"/>
      <c r="C535" s="565"/>
      <c r="D535" s="565"/>
      <c r="E535" s="567">
        <f>((E509-E510-E511-E512-E513)+(E514+E515+E516+E517+E518+E519+E520+E521+E522))-((E523-E524-E525)+(E526+E527+E528))-((E529-E530-E531)+(E532+E533+E534))</f>
        <v>0</v>
      </c>
    </row>
    <row r="536" spans="1:5" x14ac:dyDescent="0.2">
      <c r="A536" s="562" t="s">
        <v>1005</v>
      </c>
      <c r="B536" s="562" t="s">
        <v>1005</v>
      </c>
      <c r="C536" s="562">
        <v>4000</v>
      </c>
      <c r="D536" s="571" t="s">
        <v>1037</v>
      </c>
      <c r="E536" s="563">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2" t="s">
        <v>1006</v>
      </c>
      <c r="B537" s="562" t="s">
        <v>1005</v>
      </c>
      <c r="C537" s="562">
        <v>4000</v>
      </c>
      <c r="D537" s="562">
        <v>6300</v>
      </c>
      <c r="E537" s="563">
        <f>SUMIFS('Accounting data'!$G$2:$G$37000,'Accounting data'!$H$2:$H$37000,"9999*",'Accounting data'!$J$2:$J$37000,"4*",'Accounting data'!$K$2:$K$37000,"63*")</f>
        <v>0</v>
      </c>
    </row>
    <row r="538" spans="1:5" x14ac:dyDescent="0.2">
      <c r="A538" s="562" t="s">
        <v>1006</v>
      </c>
      <c r="B538" s="562" t="s">
        <v>1005</v>
      </c>
      <c r="C538" s="562">
        <v>4000</v>
      </c>
      <c r="D538" s="562">
        <v>6400</v>
      </c>
      <c r="E538" s="563">
        <f>SUMIFS('Accounting data'!$G$2:$G$37000,'Accounting data'!$H$2:$H$37000,"9999*",'Accounting data'!$J$2:$J$37000,"4*",'Accounting data'!$K$2:$K$37000,"64*")</f>
        <v>0</v>
      </c>
    </row>
    <row r="539" spans="1:5" x14ac:dyDescent="0.2">
      <c r="A539" s="562" t="s">
        <v>1006</v>
      </c>
      <c r="B539" s="562" t="s">
        <v>1005</v>
      </c>
      <c r="C539" s="562">
        <v>4000</v>
      </c>
      <c r="D539" s="562">
        <v>6500</v>
      </c>
      <c r="E539" s="563">
        <f>SUMIFS('Accounting data'!$G$2:$G$37000,'Accounting data'!$H$2:$H$37000,"9999*",'Accounting data'!$J$2:$J$37000,"4*",'Accounting data'!$K$2:$K$37000,"65*")</f>
        <v>0</v>
      </c>
    </row>
    <row r="540" spans="1:5" x14ac:dyDescent="0.2">
      <c r="A540" s="562" t="s">
        <v>1005</v>
      </c>
      <c r="B540" s="562" t="s">
        <v>1007</v>
      </c>
      <c r="C540" s="562">
        <v>4000</v>
      </c>
      <c r="D540" s="571" t="s">
        <v>1037</v>
      </c>
      <c r="E540" s="563">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4" t="s">
        <v>1006</v>
      </c>
      <c r="B541" s="562" t="s">
        <v>1007</v>
      </c>
      <c r="C541" s="562">
        <v>4000</v>
      </c>
      <c r="D541" s="562">
        <v>6300</v>
      </c>
      <c r="E541" s="563">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4" t="s">
        <v>1006</v>
      </c>
      <c r="B542" s="562" t="s">
        <v>1007</v>
      </c>
      <c r="C542" s="562">
        <v>4000</v>
      </c>
      <c r="D542" s="562">
        <v>6400</v>
      </c>
      <c r="E542" s="563">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4" t="s">
        <v>1006</v>
      </c>
      <c r="B543" s="562" t="s">
        <v>1007</v>
      </c>
      <c r="C543" s="562">
        <v>4000</v>
      </c>
      <c r="D543" s="562">
        <v>6500</v>
      </c>
      <c r="E543" s="563">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2"/>
      <c r="B544" s="562"/>
      <c r="C544" s="562"/>
      <c r="D544" s="562"/>
      <c r="E544" s="563"/>
    </row>
    <row r="545" spans="1:5" x14ac:dyDescent="0.2">
      <c r="A545" s="562"/>
      <c r="B545" s="562"/>
      <c r="C545" s="562"/>
      <c r="D545" s="562"/>
      <c r="E545" s="563"/>
    </row>
    <row r="546" spans="1:5" x14ac:dyDescent="0.2">
      <c r="A546" s="562"/>
      <c r="B546" s="562"/>
      <c r="C546" s="562"/>
      <c r="D546" s="562"/>
      <c r="E546" s="563"/>
    </row>
    <row r="547" spans="1:5" x14ac:dyDescent="0.2">
      <c r="A547" s="562"/>
      <c r="B547" s="562"/>
      <c r="C547" s="562"/>
      <c r="D547" s="562"/>
      <c r="E547" s="563"/>
    </row>
    <row r="548" spans="1:5" x14ac:dyDescent="0.2">
      <c r="A548" s="562"/>
      <c r="B548" s="562"/>
      <c r="C548" s="562"/>
      <c r="D548" s="562"/>
      <c r="E548" s="563"/>
    </row>
    <row r="549" spans="1:5" x14ac:dyDescent="0.2">
      <c r="A549" s="562"/>
      <c r="B549" s="562"/>
      <c r="C549" s="562"/>
      <c r="D549" s="562"/>
      <c r="E549" s="563"/>
    </row>
    <row r="550" spans="1:5" x14ac:dyDescent="0.2">
      <c r="A550" s="562"/>
      <c r="B550" s="562"/>
      <c r="C550" s="562"/>
      <c r="D550" s="562"/>
      <c r="E550" s="563"/>
    </row>
    <row r="551" spans="1:5" x14ac:dyDescent="0.2">
      <c r="A551" s="562"/>
      <c r="B551" s="562"/>
      <c r="C551" s="562"/>
      <c r="D551" s="562"/>
      <c r="E551" s="563"/>
    </row>
    <row r="552" spans="1:5" x14ac:dyDescent="0.2">
      <c r="A552" s="562"/>
      <c r="B552" s="562"/>
      <c r="C552" s="562"/>
      <c r="D552" s="562"/>
      <c r="E552" s="563"/>
    </row>
    <row r="553" spans="1:5" x14ac:dyDescent="0.2">
      <c r="A553" s="564"/>
      <c r="B553" s="562"/>
      <c r="C553" s="562"/>
      <c r="D553" s="562"/>
      <c r="E553" s="563"/>
    </row>
    <row r="554" spans="1:5" x14ac:dyDescent="0.2">
      <c r="A554" s="562"/>
      <c r="B554" s="562"/>
      <c r="C554" s="562"/>
      <c r="D554" s="562"/>
      <c r="E554" s="563"/>
    </row>
    <row r="555" spans="1:5" x14ac:dyDescent="0.2">
      <c r="A555" s="562"/>
      <c r="B555" s="562"/>
      <c r="C555" s="562"/>
      <c r="D555" s="562"/>
      <c r="E555" s="563"/>
    </row>
    <row r="556" spans="1:5" x14ac:dyDescent="0.2">
      <c r="A556" s="562"/>
      <c r="B556" s="562"/>
      <c r="C556" s="562"/>
      <c r="D556" s="562"/>
      <c r="E556" s="563"/>
    </row>
    <row r="557" spans="1:5" x14ac:dyDescent="0.2">
      <c r="A557" s="562"/>
      <c r="B557" s="562"/>
      <c r="C557" s="562"/>
      <c r="D557" s="562"/>
      <c r="E557" s="563"/>
    </row>
    <row r="558" spans="1:5" x14ac:dyDescent="0.2">
      <c r="A558" s="562"/>
      <c r="B558" s="562"/>
      <c r="C558" s="562"/>
      <c r="D558" s="562"/>
      <c r="E558" s="563"/>
    </row>
    <row r="559" spans="1:5" x14ac:dyDescent="0.2">
      <c r="A559" s="564"/>
      <c r="B559" s="562"/>
      <c r="C559" s="562"/>
      <c r="D559" s="562"/>
      <c r="E559" s="563"/>
    </row>
    <row r="560" spans="1:5" x14ac:dyDescent="0.2">
      <c r="A560" s="562"/>
      <c r="B560" s="562"/>
      <c r="C560" s="562"/>
      <c r="D560" s="562"/>
      <c r="E560" s="563"/>
    </row>
    <row r="561" spans="1:5" x14ac:dyDescent="0.2">
      <c r="A561" s="562"/>
      <c r="B561" s="562"/>
      <c r="C561" s="562"/>
      <c r="D561" s="562"/>
      <c r="E561" s="563"/>
    </row>
    <row r="562" spans="1:5" x14ac:dyDescent="0.2">
      <c r="A562" s="565" t="s">
        <v>1049</v>
      </c>
      <c r="B562" s="565"/>
      <c r="C562" s="565"/>
      <c r="D562" s="565"/>
      <c r="E562" s="567">
        <f>((E536-E537-E538-E539-E540)+(E541+E542+E543+E544+E545+E546+E547+E548+E549))-((E550-E551-E552)+(E553+E554+E555))-((E556-E557-E558)+(E559+E560+E561))</f>
        <v>0</v>
      </c>
    </row>
    <row r="563" spans="1:5" x14ac:dyDescent="0.2">
      <c r="A563" s="568" t="s">
        <v>1050</v>
      </c>
      <c r="B563" s="568"/>
      <c r="C563" s="568"/>
      <c r="D563" s="568"/>
      <c r="E563" s="572">
        <f>E238+E265+E292+E319+E346+E373+E400+E427+E454+E481+E508+E535</f>
        <v>5119686</v>
      </c>
    </row>
    <row r="564" spans="1:5" ht="15" x14ac:dyDescent="0.25">
      <c r="A564" s="562" t="s">
        <v>1021</v>
      </c>
      <c r="B564" s="562" t="s">
        <v>1005</v>
      </c>
      <c r="C564" s="562">
        <v>1000</v>
      </c>
      <c r="D564" s="562">
        <v>6300</v>
      </c>
      <c r="E564" s="570">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2" t="s">
        <v>1021</v>
      </c>
      <c r="B565" s="562" t="s">
        <v>1005</v>
      </c>
      <c r="C565" s="562">
        <v>2000</v>
      </c>
      <c r="D565" s="562">
        <v>6300</v>
      </c>
      <c r="E565" s="570">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10</v>
      </c>
    </row>
    <row r="566" spans="1:5" ht="15" x14ac:dyDescent="0.25">
      <c r="A566" s="562" t="s">
        <v>1021</v>
      </c>
      <c r="B566" s="562" t="s">
        <v>1005</v>
      </c>
      <c r="C566" s="562">
        <v>3000</v>
      </c>
      <c r="D566" s="562">
        <v>6300</v>
      </c>
      <c r="E566" s="570">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2" t="s">
        <v>1021</v>
      </c>
      <c r="B567" s="564">
        <v>700</v>
      </c>
      <c r="C567" s="562">
        <v>1000</v>
      </c>
      <c r="D567" s="562">
        <v>6300</v>
      </c>
      <c r="E567" s="570">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2" t="s">
        <v>1021</v>
      </c>
      <c r="B568" s="564">
        <v>800</v>
      </c>
      <c r="C568" s="562">
        <v>1000</v>
      </c>
      <c r="D568" s="562">
        <v>6300</v>
      </c>
      <c r="E568" s="570">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2" t="s">
        <v>1021</v>
      </c>
      <c r="B569" s="564">
        <v>900</v>
      </c>
      <c r="C569" s="562">
        <v>1000</v>
      </c>
      <c r="D569" s="562">
        <v>6300</v>
      </c>
      <c r="E569" s="570">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2" t="s">
        <v>1021</v>
      </c>
      <c r="B570" s="564">
        <v>700</v>
      </c>
      <c r="C570" s="562">
        <v>2000</v>
      </c>
      <c r="D570" s="562">
        <v>6300</v>
      </c>
      <c r="E570" s="563">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2" t="s">
        <v>1021</v>
      </c>
      <c r="B571" s="564">
        <v>800</v>
      </c>
      <c r="C571" s="562">
        <v>2000</v>
      </c>
      <c r="D571" s="562">
        <v>6300</v>
      </c>
      <c r="E571" s="563">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2" t="s">
        <v>1021</v>
      </c>
      <c r="B572" s="564">
        <v>900</v>
      </c>
      <c r="C572" s="562">
        <v>2000</v>
      </c>
      <c r="D572" s="562">
        <v>6300</v>
      </c>
      <c r="E572" s="563">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2" t="s">
        <v>1021</v>
      </c>
      <c r="B573" s="564">
        <v>700</v>
      </c>
      <c r="C573" s="562">
        <v>3000</v>
      </c>
      <c r="D573" s="562">
        <v>6300</v>
      </c>
      <c r="E573" s="563">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2" t="s">
        <v>1021</v>
      </c>
      <c r="B574" s="564">
        <v>800</v>
      </c>
      <c r="C574" s="562">
        <v>3000</v>
      </c>
      <c r="D574" s="562">
        <v>6300</v>
      </c>
      <c r="E574" s="563">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2" t="s">
        <v>1021</v>
      </c>
      <c r="B575" s="564">
        <v>900</v>
      </c>
      <c r="C575" s="562">
        <v>3000</v>
      </c>
      <c r="D575" s="562">
        <v>6300</v>
      </c>
      <c r="E575" s="563">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5" t="s">
        <v>1051</v>
      </c>
      <c r="B576" s="565"/>
      <c r="C576" s="565"/>
      <c r="D576" s="565"/>
      <c r="E576" s="567">
        <f>(E564+E565+E566)-(E567+E568+E569+E570+E571+E572+E573+E574+E575)</f>
        <v>10</v>
      </c>
    </row>
    <row r="577" spans="1:5" x14ac:dyDescent="0.2">
      <c r="A577" s="562" t="s">
        <v>1021</v>
      </c>
      <c r="B577" s="562" t="s">
        <v>1005</v>
      </c>
      <c r="C577" s="562">
        <v>1000</v>
      </c>
      <c r="D577" s="562">
        <v>6400</v>
      </c>
      <c r="E577" s="563">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2" t="s">
        <v>1021</v>
      </c>
      <c r="B578" s="562" t="s">
        <v>1005</v>
      </c>
      <c r="C578" s="562">
        <v>2000</v>
      </c>
      <c r="D578" s="562">
        <v>6400</v>
      </c>
      <c r="E578" s="563">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2" t="s">
        <v>1021</v>
      </c>
      <c r="B579" s="562" t="s">
        <v>1005</v>
      </c>
      <c r="C579" s="562">
        <v>3000</v>
      </c>
      <c r="D579" s="562">
        <v>6400</v>
      </c>
      <c r="E579" s="563">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2" t="s">
        <v>1021</v>
      </c>
      <c r="B580" s="564">
        <v>700</v>
      </c>
      <c r="C580" s="562">
        <v>1000</v>
      </c>
      <c r="D580" s="562">
        <v>6400</v>
      </c>
      <c r="E580" s="563">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2" t="s">
        <v>1021</v>
      </c>
      <c r="B581" s="564">
        <v>800</v>
      </c>
      <c r="C581" s="562">
        <v>1000</v>
      </c>
      <c r="D581" s="562">
        <v>6400</v>
      </c>
      <c r="E581" s="563">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2" t="s">
        <v>1021</v>
      </c>
      <c r="B582" s="564">
        <v>900</v>
      </c>
      <c r="C582" s="562">
        <v>1000</v>
      </c>
      <c r="D582" s="562">
        <v>6400</v>
      </c>
      <c r="E582" s="563">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2" t="s">
        <v>1021</v>
      </c>
      <c r="B583" s="564">
        <v>700</v>
      </c>
      <c r="C583" s="562">
        <v>2000</v>
      </c>
      <c r="D583" s="562">
        <v>6400</v>
      </c>
      <c r="E583" s="563">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2" t="s">
        <v>1021</v>
      </c>
      <c r="B584" s="564">
        <v>800</v>
      </c>
      <c r="C584" s="562">
        <v>2000</v>
      </c>
      <c r="D584" s="562">
        <v>6400</v>
      </c>
      <c r="E584" s="563">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2" t="s">
        <v>1021</v>
      </c>
      <c r="B585" s="564">
        <v>900</v>
      </c>
      <c r="C585" s="562">
        <v>2000</v>
      </c>
      <c r="D585" s="562">
        <v>6400</v>
      </c>
      <c r="E585" s="563">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2" t="s">
        <v>1021</v>
      </c>
      <c r="B586" s="564">
        <v>700</v>
      </c>
      <c r="C586" s="562">
        <v>3000</v>
      </c>
      <c r="D586" s="562">
        <v>6400</v>
      </c>
      <c r="E586" s="563">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2" t="s">
        <v>1021</v>
      </c>
      <c r="B587" s="564">
        <v>800</v>
      </c>
      <c r="C587" s="562">
        <v>3000</v>
      </c>
      <c r="D587" s="562">
        <v>6400</v>
      </c>
      <c r="E587" s="563">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2" t="s">
        <v>1021</v>
      </c>
      <c r="B588" s="564">
        <v>900</v>
      </c>
      <c r="C588" s="562">
        <v>3000</v>
      </c>
      <c r="D588" s="562">
        <v>6400</v>
      </c>
      <c r="E588" s="563">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5" t="s">
        <v>1052</v>
      </c>
      <c r="B589" s="565"/>
      <c r="C589" s="565"/>
      <c r="D589" s="565"/>
      <c r="E589" s="567">
        <f>(E577+E578+E579)-(E580+E581+E582+E583+E584+E585+E586+E587+E588)</f>
        <v>0</v>
      </c>
    </row>
    <row r="590" spans="1:5" x14ac:dyDescent="0.2">
      <c r="A590" s="562" t="s">
        <v>1021</v>
      </c>
      <c r="B590" s="562" t="s">
        <v>1005</v>
      </c>
      <c r="C590" s="562">
        <v>1000</v>
      </c>
      <c r="D590" s="562">
        <v>6500</v>
      </c>
      <c r="E590" s="563">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2" t="s">
        <v>1021</v>
      </c>
      <c r="B591" s="562" t="s">
        <v>1005</v>
      </c>
      <c r="C591" s="562">
        <v>2000</v>
      </c>
      <c r="D591" s="562">
        <v>6500</v>
      </c>
      <c r="E591" s="563">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2" t="s">
        <v>1021</v>
      </c>
      <c r="B592" s="562" t="s">
        <v>1005</v>
      </c>
      <c r="C592" s="562">
        <v>3000</v>
      </c>
      <c r="D592" s="562">
        <v>6500</v>
      </c>
      <c r="E592" s="563">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2" t="s">
        <v>1021</v>
      </c>
      <c r="B593" s="564">
        <v>700</v>
      </c>
      <c r="C593" s="562">
        <v>1000</v>
      </c>
      <c r="D593" s="562">
        <v>6500</v>
      </c>
      <c r="E593" s="563">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2" t="s">
        <v>1021</v>
      </c>
      <c r="B594" s="564">
        <v>800</v>
      </c>
      <c r="C594" s="562">
        <v>1000</v>
      </c>
      <c r="D594" s="562">
        <v>6500</v>
      </c>
      <c r="E594" s="563">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2" t="s">
        <v>1021</v>
      </c>
      <c r="B595" s="564">
        <v>900</v>
      </c>
      <c r="C595" s="562">
        <v>1000</v>
      </c>
      <c r="D595" s="562">
        <v>6500</v>
      </c>
      <c r="E595" s="563">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2" t="s">
        <v>1021</v>
      </c>
      <c r="B596" s="564">
        <v>700</v>
      </c>
      <c r="C596" s="562">
        <v>2000</v>
      </c>
      <c r="D596" s="562">
        <v>6500</v>
      </c>
      <c r="E596" s="563">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2" t="s">
        <v>1021</v>
      </c>
      <c r="B597" s="564">
        <v>800</v>
      </c>
      <c r="C597" s="562">
        <v>2000</v>
      </c>
      <c r="D597" s="562">
        <v>6500</v>
      </c>
      <c r="E597" s="563">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2" t="s">
        <v>1021</v>
      </c>
      <c r="B598" s="564">
        <v>900</v>
      </c>
      <c r="C598" s="562">
        <v>2000</v>
      </c>
      <c r="D598" s="562">
        <v>6500</v>
      </c>
      <c r="E598" s="563">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2" t="s">
        <v>1021</v>
      </c>
      <c r="B599" s="564">
        <v>700</v>
      </c>
      <c r="C599" s="562">
        <v>3000</v>
      </c>
      <c r="D599" s="562">
        <v>6500</v>
      </c>
      <c r="E599" s="563">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2" t="s">
        <v>1021</v>
      </c>
      <c r="B600" s="564">
        <v>800</v>
      </c>
      <c r="C600" s="562">
        <v>3000</v>
      </c>
      <c r="D600" s="562">
        <v>6500</v>
      </c>
      <c r="E600" s="563">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2" t="s">
        <v>1021</v>
      </c>
      <c r="B601" s="564">
        <v>900</v>
      </c>
      <c r="C601" s="562">
        <v>3000</v>
      </c>
      <c r="D601" s="562">
        <v>6500</v>
      </c>
      <c r="E601" s="563">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5" t="s">
        <v>1053</v>
      </c>
      <c r="B602" s="565"/>
      <c r="C602" s="565"/>
      <c r="D602" s="565"/>
      <c r="E602" s="567">
        <f>(E590+E591+E592)-(E593+E594+E595+E596+E597+E598+E599+E600+E601)</f>
        <v>0</v>
      </c>
    </row>
    <row r="603" spans="1:5" x14ac:dyDescent="0.2">
      <c r="A603" s="562"/>
      <c r="B603" s="562"/>
      <c r="C603" s="562"/>
      <c r="D603" s="562"/>
      <c r="E603" s="563"/>
    </row>
    <row r="604" spans="1:5" x14ac:dyDescent="0.2">
      <c r="A604" s="562"/>
      <c r="B604" s="562"/>
      <c r="C604" s="562"/>
      <c r="D604" s="562"/>
      <c r="E604" s="563"/>
    </row>
    <row r="605" spans="1:5" x14ac:dyDescent="0.2">
      <c r="A605" s="562"/>
      <c r="B605" s="562"/>
      <c r="C605" s="562"/>
      <c r="D605" s="562"/>
      <c r="E605" s="563"/>
    </row>
    <row r="606" spans="1:5" x14ac:dyDescent="0.2">
      <c r="A606" s="562"/>
      <c r="B606" s="564"/>
      <c r="C606" s="562"/>
      <c r="D606" s="562"/>
      <c r="E606" s="563"/>
    </row>
    <row r="607" spans="1:5" x14ac:dyDescent="0.2">
      <c r="A607" s="562"/>
      <c r="B607" s="564"/>
      <c r="C607" s="562"/>
      <c r="D607" s="562"/>
      <c r="E607" s="563"/>
    </row>
    <row r="608" spans="1:5" x14ac:dyDescent="0.2">
      <c r="A608" s="562"/>
      <c r="B608" s="564"/>
      <c r="C608" s="562"/>
      <c r="D608" s="562"/>
      <c r="E608" s="563"/>
    </row>
    <row r="609" spans="1:5" x14ac:dyDescent="0.2">
      <c r="A609" s="562"/>
      <c r="B609" s="564"/>
      <c r="C609" s="562"/>
      <c r="D609" s="562"/>
      <c r="E609" s="563"/>
    </row>
    <row r="610" spans="1:5" x14ac:dyDescent="0.2">
      <c r="A610" s="562"/>
      <c r="B610" s="564"/>
      <c r="C610" s="562"/>
      <c r="D610" s="562"/>
      <c r="E610" s="563"/>
    </row>
    <row r="611" spans="1:5" x14ac:dyDescent="0.2">
      <c r="A611" s="562"/>
      <c r="B611" s="564"/>
      <c r="C611" s="562"/>
      <c r="D611" s="562"/>
      <c r="E611" s="563"/>
    </row>
    <row r="612" spans="1:5" x14ac:dyDescent="0.2">
      <c r="A612" s="562"/>
      <c r="B612" s="564"/>
      <c r="C612" s="562"/>
      <c r="D612" s="562"/>
      <c r="E612" s="563"/>
    </row>
    <row r="613" spans="1:5" x14ac:dyDescent="0.2">
      <c r="A613" s="562"/>
      <c r="B613" s="564"/>
      <c r="C613" s="562"/>
      <c r="D613" s="562"/>
      <c r="E613" s="563"/>
    </row>
    <row r="614" spans="1:5" x14ac:dyDescent="0.2">
      <c r="A614" s="562"/>
      <c r="B614" s="564"/>
      <c r="C614" s="562"/>
      <c r="D614" s="562"/>
      <c r="E614" s="563"/>
    </row>
    <row r="615" spans="1:5" x14ac:dyDescent="0.2">
      <c r="A615" s="565"/>
      <c r="B615" s="565"/>
      <c r="C615" s="565"/>
      <c r="D615" s="565"/>
      <c r="E615" s="567"/>
    </row>
    <row r="616" spans="1:5" x14ac:dyDescent="0.2">
      <c r="A616" s="562"/>
      <c r="B616" s="562"/>
      <c r="C616" s="562"/>
      <c r="D616" s="562"/>
      <c r="E616" s="563"/>
    </row>
    <row r="617" spans="1:5" x14ac:dyDescent="0.2">
      <c r="A617" s="562"/>
      <c r="B617" s="562"/>
      <c r="C617" s="562"/>
      <c r="D617" s="562"/>
      <c r="E617" s="563"/>
    </row>
    <row r="618" spans="1:5" x14ac:dyDescent="0.2">
      <c r="A618" s="562"/>
      <c r="B618" s="562"/>
      <c r="C618" s="562"/>
      <c r="D618" s="562"/>
      <c r="E618" s="563"/>
    </row>
    <row r="619" spans="1:5" x14ac:dyDescent="0.2">
      <c r="A619" s="562"/>
      <c r="B619" s="564"/>
      <c r="C619" s="562"/>
      <c r="D619" s="562"/>
      <c r="E619" s="563"/>
    </row>
    <row r="620" spans="1:5" x14ac:dyDescent="0.2">
      <c r="A620" s="562"/>
      <c r="B620" s="564"/>
      <c r="C620" s="562"/>
      <c r="D620" s="562"/>
      <c r="E620" s="563"/>
    </row>
    <row r="621" spans="1:5" x14ac:dyDescent="0.2">
      <c r="A621" s="562"/>
      <c r="B621" s="564"/>
      <c r="C621" s="562"/>
      <c r="D621" s="562"/>
      <c r="E621" s="563"/>
    </row>
    <row r="622" spans="1:5" x14ac:dyDescent="0.2">
      <c r="A622" s="562"/>
      <c r="B622" s="564"/>
      <c r="C622" s="562"/>
      <c r="D622" s="562"/>
      <c r="E622" s="563"/>
    </row>
    <row r="623" spans="1:5" x14ac:dyDescent="0.2">
      <c r="A623" s="562"/>
      <c r="B623" s="564"/>
      <c r="C623" s="562"/>
      <c r="D623" s="562"/>
      <c r="E623" s="563"/>
    </row>
    <row r="624" spans="1:5" x14ac:dyDescent="0.2">
      <c r="A624" s="562"/>
      <c r="B624" s="564"/>
      <c r="C624" s="562"/>
      <c r="D624" s="562"/>
      <c r="E624" s="563"/>
    </row>
    <row r="625" spans="1:5" x14ac:dyDescent="0.2">
      <c r="A625" s="562"/>
      <c r="B625" s="564"/>
      <c r="C625" s="562"/>
      <c r="D625" s="562"/>
      <c r="E625" s="563"/>
    </row>
    <row r="626" spans="1:5" x14ac:dyDescent="0.2">
      <c r="A626" s="562"/>
      <c r="B626" s="564"/>
      <c r="C626" s="562"/>
      <c r="D626" s="562"/>
      <c r="E626" s="563"/>
    </row>
    <row r="627" spans="1:5" x14ac:dyDescent="0.2">
      <c r="A627" s="562"/>
      <c r="B627" s="564"/>
      <c r="C627" s="562"/>
      <c r="D627" s="562"/>
      <c r="E627" s="563"/>
    </row>
    <row r="628" spans="1:5" x14ac:dyDescent="0.2">
      <c r="A628" s="565"/>
      <c r="B628" s="565"/>
      <c r="C628" s="565"/>
      <c r="D628" s="565"/>
      <c r="E628" s="567"/>
    </row>
    <row r="629" spans="1:5" x14ac:dyDescent="0.2">
      <c r="A629" s="568" t="s">
        <v>1054</v>
      </c>
      <c r="B629" s="568"/>
      <c r="C629" s="568"/>
      <c r="D629" s="568"/>
      <c r="E629" s="572">
        <f>(E576+E589+E602)-(E615+E628)</f>
        <v>10</v>
      </c>
    </row>
    <row r="630" spans="1:5" x14ac:dyDescent="0.2">
      <c r="A630" s="562" t="s">
        <v>1005</v>
      </c>
      <c r="B630" s="562" t="s">
        <v>1005</v>
      </c>
      <c r="C630" s="562">
        <v>1000</v>
      </c>
      <c r="D630" s="562">
        <v>6600</v>
      </c>
      <c r="E630" s="563">
        <f>SUMIFS('Accounting data'!$G$2:$G$37000,'Accounting data'!$J$2:$J$37000,"1*",'Accounting data'!$K$2:$K$37000,"66*")</f>
        <v>879448</v>
      </c>
    </row>
    <row r="631" spans="1:5" x14ac:dyDescent="0.2">
      <c r="A631" s="562" t="s">
        <v>1006</v>
      </c>
      <c r="B631" s="562" t="s">
        <v>1005</v>
      </c>
      <c r="C631" s="562">
        <v>1000</v>
      </c>
      <c r="D631" s="562">
        <v>6600</v>
      </c>
      <c r="E631" s="563">
        <f>SUMIFS('Accounting data'!$G$2:$G$37000,'Accounting data'!$H$2:$H$37000,"9999*",'Accounting data'!$J$2:$J$37000,"1*",'Accounting data'!$K$2:$K$37000,"66*")</f>
        <v>0</v>
      </c>
    </row>
    <row r="632" spans="1:5" x14ac:dyDescent="0.2">
      <c r="A632" s="562" t="s">
        <v>1005</v>
      </c>
      <c r="B632" s="562" t="s">
        <v>1007</v>
      </c>
      <c r="C632" s="562">
        <v>1000</v>
      </c>
      <c r="D632" s="562">
        <v>6600</v>
      </c>
      <c r="E632" s="563">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4" t="s">
        <v>1006</v>
      </c>
      <c r="B633" s="562" t="s">
        <v>1007</v>
      </c>
      <c r="C633" s="562">
        <v>1000</v>
      </c>
      <c r="D633" s="562">
        <v>6600</v>
      </c>
      <c r="E633" s="563">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2"/>
      <c r="B634" s="562"/>
      <c r="C634" s="562"/>
      <c r="D634" s="562"/>
      <c r="E634" s="563"/>
    </row>
    <row r="635" spans="1:5" x14ac:dyDescent="0.2">
      <c r="A635" s="562"/>
      <c r="B635" s="562"/>
      <c r="C635" s="562"/>
      <c r="D635" s="562"/>
      <c r="E635" s="563"/>
    </row>
    <row r="636" spans="1:5" x14ac:dyDescent="0.2">
      <c r="A636" s="565" t="s">
        <v>1055</v>
      </c>
      <c r="B636" s="565"/>
      <c r="C636" s="565"/>
      <c r="D636" s="565"/>
      <c r="E636" s="567">
        <f>(E630-E631-E632)+(E633+E634+E635)</f>
        <v>879448</v>
      </c>
    </row>
    <row r="637" spans="1:5" x14ac:dyDescent="0.2">
      <c r="A637" s="562" t="s">
        <v>1005</v>
      </c>
      <c r="B637" s="562" t="s">
        <v>1005</v>
      </c>
      <c r="C637" s="562">
        <v>2100</v>
      </c>
      <c r="D637" s="562">
        <v>6600</v>
      </c>
      <c r="E637" s="563">
        <f>SUMIFS('Accounting data'!$G$2:$G$37000,'Accounting data'!$J$2:$J$37000,"21*",'Accounting data'!$K$2:$K$37000,"66*")</f>
        <v>33226</v>
      </c>
    </row>
    <row r="638" spans="1:5" x14ac:dyDescent="0.2">
      <c r="A638" s="562" t="s">
        <v>1006</v>
      </c>
      <c r="B638" s="562" t="s">
        <v>1005</v>
      </c>
      <c r="C638" s="562">
        <v>2100</v>
      </c>
      <c r="D638" s="562">
        <v>6600</v>
      </c>
      <c r="E638" s="563">
        <f>SUMIFS('Accounting data'!$G$2:$G$37000,'Accounting data'!$H$2:$H$37000,"9999*",'Accounting data'!$J$2:$J$37000,"21*",'Accounting data'!$K$2:$K$37000,"66*")</f>
        <v>0</v>
      </c>
    </row>
    <row r="639" spans="1:5" x14ac:dyDescent="0.2">
      <c r="A639" s="562" t="s">
        <v>1005</v>
      </c>
      <c r="B639" s="562" t="s">
        <v>1007</v>
      </c>
      <c r="C639" s="562">
        <v>2100</v>
      </c>
      <c r="D639" s="562">
        <v>6600</v>
      </c>
      <c r="E639" s="563">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4" t="s">
        <v>1006</v>
      </c>
      <c r="B640" s="562" t="s">
        <v>1007</v>
      </c>
      <c r="C640" s="562">
        <v>2100</v>
      </c>
      <c r="D640" s="562">
        <v>6600</v>
      </c>
      <c r="E640" s="563">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2"/>
      <c r="B641" s="562"/>
      <c r="C641" s="562"/>
      <c r="D641" s="562"/>
      <c r="E641" s="563"/>
    </row>
    <row r="642" spans="1:5" x14ac:dyDescent="0.2">
      <c r="A642" s="562"/>
      <c r="B642" s="562"/>
      <c r="C642" s="562"/>
      <c r="D642" s="562"/>
      <c r="E642" s="563"/>
    </row>
    <row r="643" spans="1:5" x14ac:dyDescent="0.2">
      <c r="A643" s="565" t="s">
        <v>1056</v>
      </c>
      <c r="B643" s="565"/>
      <c r="C643" s="565"/>
      <c r="D643" s="565"/>
      <c r="E643" s="567">
        <f>(E637-E638-E639)+(E640+E641+E642)</f>
        <v>33226</v>
      </c>
    </row>
    <row r="644" spans="1:5" x14ac:dyDescent="0.2">
      <c r="A644" s="562" t="s">
        <v>1005</v>
      </c>
      <c r="B644" s="562" t="s">
        <v>1005</v>
      </c>
      <c r="C644" s="562">
        <v>2200</v>
      </c>
      <c r="D644" s="562">
        <v>6600</v>
      </c>
      <c r="E644" s="563">
        <f>SUMIFS('Accounting data'!$G$2:$G$37000,'Accounting data'!$J$2:$J$37000,"22*",'Accounting data'!$K$2:$K$37000,"66*")</f>
        <v>12337</v>
      </c>
    </row>
    <row r="645" spans="1:5" x14ac:dyDescent="0.2">
      <c r="A645" s="562" t="s">
        <v>1006</v>
      </c>
      <c r="B645" s="562" t="s">
        <v>1005</v>
      </c>
      <c r="C645" s="562">
        <v>2200</v>
      </c>
      <c r="D645" s="562">
        <v>6600</v>
      </c>
      <c r="E645" s="563">
        <f>SUMIFS('Accounting data'!$G$2:$G$37000,'Accounting data'!$H$2:$H$37000,"9999*",'Accounting data'!$J$2:$J$37000,"22*",'Accounting data'!$K$2:$K$37000,"66*")</f>
        <v>0</v>
      </c>
    </row>
    <row r="646" spans="1:5" x14ac:dyDescent="0.2">
      <c r="A646" s="562" t="s">
        <v>1005</v>
      </c>
      <c r="B646" s="562" t="s">
        <v>1007</v>
      </c>
      <c r="C646" s="562">
        <v>2200</v>
      </c>
      <c r="D646" s="562">
        <v>6600</v>
      </c>
      <c r="E646" s="563">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4" t="s">
        <v>1006</v>
      </c>
      <c r="B647" s="562" t="s">
        <v>1007</v>
      </c>
      <c r="C647" s="562">
        <v>2200</v>
      </c>
      <c r="D647" s="562">
        <v>6600</v>
      </c>
      <c r="E647" s="563">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2"/>
      <c r="B648" s="562"/>
      <c r="C648" s="562"/>
      <c r="D648" s="562"/>
      <c r="E648" s="563"/>
    </row>
    <row r="649" spans="1:5" x14ac:dyDescent="0.2">
      <c r="A649" s="562"/>
      <c r="B649" s="562"/>
      <c r="C649" s="562"/>
      <c r="D649" s="562"/>
      <c r="E649" s="563"/>
    </row>
    <row r="650" spans="1:5" x14ac:dyDescent="0.2">
      <c r="A650" s="565" t="s">
        <v>1057</v>
      </c>
      <c r="B650" s="565"/>
      <c r="C650" s="565"/>
      <c r="D650" s="565"/>
      <c r="E650" s="567">
        <f>(E644-E645-E646)+(E647+E648+E649)</f>
        <v>12337</v>
      </c>
    </row>
    <row r="651" spans="1:5" x14ac:dyDescent="0.2">
      <c r="A651" s="562" t="s">
        <v>1005</v>
      </c>
      <c r="B651" s="562" t="s">
        <v>1005</v>
      </c>
      <c r="C651" s="562">
        <v>2300</v>
      </c>
      <c r="D651" s="562">
        <v>6600</v>
      </c>
      <c r="E651" s="563">
        <f>SUMIFS('Accounting data'!$G$2:$G$37000,'Accounting data'!$J$2:$J$37000,"23*",'Accounting data'!$K$2:$K$37000,"66*")</f>
        <v>6716</v>
      </c>
    </row>
    <row r="652" spans="1:5" x14ac:dyDescent="0.2">
      <c r="A652" s="562" t="s">
        <v>1006</v>
      </c>
      <c r="B652" s="562" t="s">
        <v>1005</v>
      </c>
      <c r="C652" s="562">
        <v>2300</v>
      </c>
      <c r="D652" s="562">
        <v>6600</v>
      </c>
      <c r="E652" s="563">
        <f>SUMIFS('Accounting data'!$G$2:$G$37000,'Accounting data'!$H$2:$H$37000,"9999*",'Accounting data'!$J$2:$J$37000,"23*",'Accounting data'!$K$2:$K$37000,"66*")</f>
        <v>0</v>
      </c>
    </row>
    <row r="653" spans="1:5" x14ac:dyDescent="0.2">
      <c r="A653" s="562" t="s">
        <v>1005</v>
      </c>
      <c r="B653" s="562" t="s">
        <v>1007</v>
      </c>
      <c r="C653" s="562">
        <v>2300</v>
      </c>
      <c r="D653" s="562">
        <v>6600</v>
      </c>
      <c r="E653" s="563">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4" t="s">
        <v>1006</v>
      </c>
      <c r="B654" s="562" t="s">
        <v>1007</v>
      </c>
      <c r="C654" s="562">
        <v>2300</v>
      </c>
      <c r="D654" s="562">
        <v>6600</v>
      </c>
      <c r="E654" s="563">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2"/>
      <c r="B655" s="562"/>
      <c r="C655" s="562"/>
      <c r="D655" s="562"/>
      <c r="E655" s="563"/>
    </row>
    <row r="656" spans="1:5" x14ac:dyDescent="0.2">
      <c r="A656" s="562"/>
      <c r="B656" s="562"/>
      <c r="C656" s="562"/>
      <c r="D656" s="562"/>
      <c r="E656" s="563"/>
    </row>
    <row r="657" spans="1:5" x14ac:dyDescent="0.2">
      <c r="A657" s="565" t="s">
        <v>1058</v>
      </c>
      <c r="B657" s="565"/>
      <c r="C657" s="565"/>
      <c r="D657" s="565"/>
      <c r="E657" s="567">
        <f>(E651-E652-E653)+(E654+E655+E656)</f>
        <v>6716</v>
      </c>
    </row>
    <row r="658" spans="1:5" x14ac:dyDescent="0.2">
      <c r="A658" s="562" t="s">
        <v>1005</v>
      </c>
      <c r="B658" s="562" t="s">
        <v>1005</v>
      </c>
      <c r="C658" s="562">
        <v>2400</v>
      </c>
      <c r="D658" s="562">
        <v>6600</v>
      </c>
      <c r="E658" s="563">
        <f>SUMIFS('Accounting data'!$G$2:$G$37000,'Accounting data'!$J$2:$J$37000,"24*",'Accounting data'!$K$2:$K$37000,"66*")</f>
        <v>14765</v>
      </c>
    </row>
    <row r="659" spans="1:5" x14ac:dyDescent="0.2">
      <c r="A659" s="562" t="s">
        <v>1006</v>
      </c>
      <c r="B659" s="562" t="s">
        <v>1005</v>
      </c>
      <c r="C659" s="562">
        <v>2400</v>
      </c>
      <c r="D659" s="562">
        <v>6600</v>
      </c>
      <c r="E659" s="563">
        <f>SUMIFS('Accounting data'!$G$2:$G$37000,'Accounting data'!$H$2:$H$37000,"9999*",'Accounting data'!$J$2:$J$37000,"24*",'Accounting data'!$K$2:$K$37000,"66*")</f>
        <v>0</v>
      </c>
    </row>
    <row r="660" spans="1:5" x14ac:dyDescent="0.2">
      <c r="A660" s="562" t="s">
        <v>1005</v>
      </c>
      <c r="B660" s="562" t="s">
        <v>1007</v>
      </c>
      <c r="C660" s="562">
        <v>2400</v>
      </c>
      <c r="D660" s="562">
        <v>6600</v>
      </c>
      <c r="E660" s="563">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4" t="s">
        <v>1006</v>
      </c>
      <c r="B661" s="562" t="s">
        <v>1007</v>
      </c>
      <c r="C661" s="562">
        <v>2400</v>
      </c>
      <c r="D661" s="562">
        <v>6600</v>
      </c>
      <c r="E661" s="563">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2"/>
      <c r="B662" s="562"/>
      <c r="C662" s="562"/>
      <c r="D662" s="562"/>
      <c r="E662" s="563"/>
    </row>
    <row r="663" spans="1:5" x14ac:dyDescent="0.2">
      <c r="A663" s="562"/>
      <c r="B663" s="562"/>
      <c r="C663" s="562"/>
      <c r="D663" s="562"/>
      <c r="E663" s="563"/>
    </row>
    <row r="664" spans="1:5" x14ac:dyDescent="0.2">
      <c r="A664" s="565" t="s">
        <v>1059</v>
      </c>
      <c r="B664" s="565"/>
      <c r="C664" s="565"/>
      <c r="D664" s="565"/>
      <c r="E664" s="567">
        <f>(E658-E659-E660)+(E661+E662+E663)</f>
        <v>14765</v>
      </c>
    </row>
    <row r="665" spans="1:5" x14ac:dyDescent="0.2">
      <c r="A665" s="562" t="s">
        <v>1005</v>
      </c>
      <c r="B665" s="562" t="s">
        <v>1005</v>
      </c>
      <c r="C665" s="562">
        <v>2500</v>
      </c>
      <c r="D665" s="562">
        <v>6600</v>
      </c>
      <c r="E665" s="563">
        <f>SUMIFS('Accounting data'!$G$2:$G$37000,'Accounting data'!$J$2:$J$37000,"25*",'Accounting data'!$K$2:$K$37000,"66*")</f>
        <v>54895</v>
      </c>
    </row>
    <row r="666" spans="1:5" x14ac:dyDescent="0.2">
      <c r="A666" s="562" t="s">
        <v>1006</v>
      </c>
      <c r="B666" s="562" t="s">
        <v>1005</v>
      </c>
      <c r="C666" s="562">
        <v>2500</v>
      </c>
      <c r="D666" s="562">
        <v>6600</v>
      </c>
      <c r="E666" s="563">
        <f>SUMIFS('Accounting data'!$G$2:$G$37000,'Accounting data'!$H$2:$H$37000,"9999*",'Accounting data'!$J$2:$J$37000,"25*",'Accounting data'!$K$2:$K$37000,"66*")</f>
        <v>0</v>
      </c>
    </row>
    <row r="667" spans="1:5" x14ac:dyDescent="0.2">
      <c r="A667" s="562" t="s">
        <v>1005</v>
      </c>
      <c r="B667" s="562" t="s">
        <v>1007</v>
      </c>
      <c r="C667" s="562">
        <v>2500</v>
      </c>
      <c r="D667" s="562">
        <v>6600</v>
      </c>
      <c r="E667" s="563">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4" t="s">
        <v>1006</v>
      </c>
      <c r="B668" s="562" t="s">
        <v>1007</v>
      </c>
      <c r="C668" s="562">
        <v>2500</v>
      </c>
      <c r="D668" s="562">
        <v>6600</v>
      </c>
      <c r="E668" s="563">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2"/>
      <c r="B669" s="562"/>
      <c r="C669" s="562"/>
      <c r="D669" s="562"/>
      <c r="E669" s="563"/>
    </row>
    <row r="670" spans="1:5" x14ac:dyDescent="0.2">
      <c r="A670" s="562"/>
      <c r="B670" s="562"/>
      <c r="C670" s="562"/>
      <c r="D670" s="562"/>
      <c r="E670" s="563"/>
    </row>
    <row r="671" spans="1:5" x14ac:dyDescent="0.2">
      <c r="A671" s="565" t="s">
        <v>1060</v>
      </c>
      <c r="B671" s="565"/>
      <c r="C671" s="565"/>
      <c r="D671" s="565"/>
      <c r="E671" s="567">
        <f>(E665-E666-E667)+(E668+E669+E670)</f>
        <v>54895</v>
      </c>
    </row>
    <row r="672" spans="1:5" x14ac:dyDescent="0.2">
      <c r="A672" s="562" t="s">
        <v>1005</v>
      </c>
      <c r="B672" s="562" t="s">
        <v>1005</v>
      </c>
      <c r="C672" s="562">
        <v>2900</v>
      </c>
      <c r="D672" s="562">
        <v>6600</v>
      </c>
      <c r="E672" s="563">
        <f>SUMIFS('Accounting data'!$G$2:$G$37000,'Accounting data'!$J$2:$J$37000,"29*",'Accounting data'!$K$2:$K$37000,"66*")</f>
        <v>0</v>
      </c>
    </row>
    <row r="673" spans="1:5" x14ac:dyDescent="0.2">
      <c r="A673" s="562" t="s">
        <v>1006</v>
      </c>
      <c r="B673" s="562" t="s">
        <v>1005</v>
      </c>
      <c r="C673" s="562">
        <v>2900</v>
      </c>
      <c r="D673" s="562">
        <v>6600</v>
      </c>
      <c r="E673" s="563">
        <f>SUMIFS('Accounting data'!$G$2:$G$37000,'Accounting data'!$H$2:$H$37000,"9999*",'Accounting data'!$J$2:$J$37000,"29*",'Accounting data'!$K$2:$K$37000,"66*")</f>
        <v>0</v>
      </c>
    </row>
    <row r="674" spans="1:5" x14ac:dyDescent="0.2">
      <c r="A674" s="562" t="s">
        <v>1005</v>
      </c>
      <c r="B674" s="562" t="s">
        <v>1007</v>
      </c>
      <c r="C674" s="562">
        <v>2900</v>
      </c>
      <c r="D674" s="562">
        <v>6600</v>
      </c>
      <c r="E674" s="563">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4" t="s">
        <v>1006</v>
      </c>
      <c r="B675" s="562" t="s">
        <v>1007</v>
      </c>
      <c r="C675" s="562">
        <v>2900</v>
      </c>
      <c r="D675" s="562">
        <v>6600</v>
      </c>
      <c r="E675" s="563">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2"/>
      <c r="B676" s="562"/>
      <c r="C676" s="562"/>
      <c r="D676" s="562"/>
      <c r="E676" s="563"/>
    </row>
    <row r="677" spans="1:5" x14ac:dyDescent="0.2">
      <c r="A677" s="562"/>
      <c r="B677" s="562"/>
      <c r="C677" s="562"/>
      <c r="D677" s="562"/>
      <c r="E677" s="563"/>
    </row>
    <row r="678" spans="1:5" x14ac:dyDescent="0.2">
      <c r="A678" s="565" t="s">
        <v>1061</v>
      </c>
      <c r="B678" s="565"/>
      <c r="C678" s="565"/>
      <c r="D678" s="565"/>
      <c r="E678" s="567">
        <f>(E672-E673-E674)+(E675+E676+E677)</f>
        <v>0</v>
      </c>
    </row>
    <row r="679" spans="1:5" x14ac:dyDescent="0.2">
      <c r="A679" s="562" t="s">
        <v>1005</v>
      </c>
      <c r="B679" s="562" t="s">
        <v>1005</v>
      </c>
      <c r="C679" s="562">
        <v>2600</v>
      </c>
      <c r="D679" s="562">
        <v>6600</v>
      </c>
      <c r="E679" s="563">
        <f>SUMIFS('Accounting data'!$G$2:$G$37000,'Accounting data'!$J$2:$J$37000,"26*",'Accounting data'!$K$2:$K$37000,"66*")</f>
        <v>4822</v>
      </c>
    </row>
    <row r="680" spans="1:5" x14ac:dyDescent="0.2">
      <c r="A680" s="562" t="s">
        <v>1006</v>
      </c>
      <c r="B680" s="562" t="s">
        <v>1005</v>
      </c>
      <c r="C680" s="562">
        <v>2600</v>
      </c>
      <c r="D680" s="562">
        <v>6600</v>
      </c>
      <c r="E680" s="563">
        <f>SUMIFS('Accounting data'!$G$2:$G$37000,'Accounting data'!$H$2:$H$37000,"9999*",'Accounting data'!$J$2:$J$37000,"26*",'Accounting data'!$K$2:$K$37000,"66*")</f>
        <v>0</v>
      </c>
    </row>
    <row r="681" spans="1:5" x14ac:dyDescent="0.2">
      <c r="A681" s="562" t="s">
        <v>1005</v>
      </c>
      <c r="B681" s="562" t="s">
        <v>1007</v>
      </c>
      <c r="C681" s="562">
        <v>2600</v>
      </c>
      <c r="D681" s="562">
        <v>6600</v>
      </c>
      <c r="E681" s="563">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4" t="s">
        <v>1006</v>
      </c>
      <c r="B682" s="562" t="s">
        <v>1007</v>
      </c>
      <c r="C682" s="562">
        <v>2600</v>
      </c>
      <c r="D682" s="562">
        <v>6600</v>
      </c>
      <c r="E682" s="563">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2"/>
      <c r="B683" s="562"/>
      <c r="C683" s="562"/>
      <c r="D683" s="562"/>
      <c r="E683" s="563"/>
    </row>
    <row r="684" spans="1:5" x14ac:dyDescent="0.2">
      <c r="A684" s="562"/>
      <c r="B684" s="562"/>
      <c r="C684" s="562"/>
      <c r="D684" s="562"/>
      <c r="E684" s="563"/>
    </row>
    <row r="685" spans="1:5" x14ac:dyDescent="0.2">
      <c r="A685" s="565" t="s">
        <v>1062</v>
      </c>
      <c r="B685" s="565"/>
      <c r="C685" s="565"/>
      <c r="D685" s="565"/>
      <c r="E685" s="567">
        <f>(E679-E680-E681)+(E682+E683+E684)</f>
        <v>4822</v>
      </c>
    </row>
    <row r="686" spans="1:5" x14ac:dyDescent="0.2">
      <c r="A686" s="562" t="s">
        <v>1005</v>
      </c>
      <c r="B686" s="562" t="s">
        <v>1005</v>
      </c>
      <c r="C686" s="562">
        <v>2700</v>
      </c>
      <c r="D686" s="562">
        <v>6600</v>
      </c>
      <c r="E686" s="563">
        <f>SUMIFS('Accounting data'!$G$2:$G$37000,'Accounting data'!$J$2:$J$37000,"27*",'Accounting data'!$K$2:$K$37000,"66*")</f>
        <v>0</v>
      </c>
    </row>
    <row r="687" spans="1:5" x14ac:dyDescent="0.2">
      <c r="A687" s="562" t="s">
        <v>1006</v>
      </c>
      <c r="B687" s="562" t="s">
        <v>1005</v>
      </c>
      <c r="C687" s="562">
        <v>2700</v>
      </c>
      <c r="D687" s="562">
        <v>6600</v>
      </c>
      <c r="E687" s="563">
        <f>SUMIFS('Accounting data'!$G$2:$G$37000,'Accounting data'!$H$2:$H$37000,"9999*",'Accounting data'!$J$2:$J$37000,"27*",'Accounting data'!$K$2:$K$37000,"66*")</f>
        <v>0</v>
      </c>
    </row>
    <row r="688" spans="1:5" x14ac:dyDescent="0.2">
      <c r="A688" s="562" t="s">
        <v>1005</v>
      </c>
      <c r="B688" s="562" t="s">
        <v>1007</v>
      </c>
      <c r="C688" s="562">
        <v>2700</v>
      </c>
      <c r="D688" s="562">
        <v>6600</v>
      </c>
      <c r="E688" s="563">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4" t="s">
        <v>1006</v>
      </c>
      <c r="B689" s="562" t="s">
        <v>1007</v>
      </c>
      <c r="C689" s="562">
        <v>2700</v>
      </c>
      <c r="D689" s="562">
        <v>6600</v>
      </c>
      <c r="E689" s="563">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2"/>
      <c r="B690" s="562"/>
      <c r="C690" s="562"/>
      <c r="D690" s="562"/>
      <c r="E690" s="563"/>
    </row>
    <row r="691" spans="1:5" x14ac:dyDescent="0.2">
      <c r="A691" s="562"/>
      <c r="B691" s="562"/>
      <c r="C691" s="562"/>
      <c r="D691" s="562"/>
      <c r="E691" s="563"/>
    </row>
    <row r="692" spans="1:5" x14ac:dyDescent="0.2">
      <c r="A692" s="565" t="s">
        <v>1063</v>
      </c>
      <c r="B692" s="565"/>
      <c r="C692" s="565"/>
      <c r="D692" s="565"/>
      <c r="E692" s="567">
        <f>(E686-E687-E688)+(E689+E690+E691)</f>
        <v>0</v>
      </c>
    </row>
    <row r="693" spans="1:5" x14ac:dyDescent="0.2">
      <c r="A693" s="562" t="s">
        <v>1005</v>
      </c>
      <c r="B693" s="562" t="s">
        <v>1005</v>
      </c>
      <c r="C693" s="562">
        <v>3100</v>
      </c>
      <c r="D693" s="562">
        <v>6600</v>
      </c>
      <c r="E693" s="563">
        <f>SUMIFS('Accounting data'!$G$2:$G$37000,'Accounting data'!$J$2:$J$37000,"31*",'Accounting data'!$K$2:$K$37000,"66*")</f>
        <v>352</v>
      </c>
    </row>
    <row r="694" spans="1:5" x14ac:dyDescent="0.2">
      <c r="A694" s="562" t="s">
        <v>1006</v>
      </c>
      <c r="B694" s="562" t="s">
        <v>1005</v>
      </c>
      <c r="C694" s="562">
        <v>3100</v>
      </c>
      <c r="D694" s="562">
        <v>6600</v>
      </c>
      <c r="E694" s="563">
        <f>SUMIFS('Accounting data'!$G$2:$G$37000,'Accounting data'!$H$2:$H$37000,"9999*",'Accounting data'!$J$2:$J$37000,"31*",'Accounting data'!$K$2:$K$37000,"66*")</f>
        <v>0</v>
      </c>
    </row>
    <row r="695" spans="1:5" x14ac:dyDescent="0.2">
      <c r="A695" s="562" t="s">
        <v>1005</v>
      </c>
      <c r="B695" s="562" t="s">
        <v>1007</v>
      </c>
      <c r="C695" s="562">
        <v>3100</v>
      </c>
      <c r="D695" s="562">
        <v>6600</v>
      </c>
      <c r="E695" s="563">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4" t="s">
        <v>1006</v>
      </c>
      <c r="B696" s="562" t="s">
        <v>1007</v>
      </c>
      <c r="C696" s="562">
        <v>3100</v>
      </c>
      <c r="D696" s="562">
        <v>6600</v>
      </c>
      <c r="E696" s="563">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2"/>
      <c r="B697" s="562"/>
      <c r="C697" s="562"/>
      <c r="D697" s="562"/>
      <c r="E697" s="563"/>
    </row>
    <row r="698" spans="1:5" x14ac:dyDescent="0.2">
      <c r="A698" s="562"/>
      <c r="B698" s="562"/>
      <c r="C698" s="562"/>
      <c r="D698" s="562"/>
      <c r="E698" s="563"/>
    </row>
    <row r="699" spans="1:5" x14ac:dyDescent="0.2">
      <c r="A699" s="565" t="s">
        <v>1064</v>
      </c>
      <c r="B699" s="565"/>
      <c r="C699" s="565"/>
      <c r="D699" s="565"/>
      <c r="E699" s="567">
        <f>(E693-E694-E695)+(E696+E697+E698)</f>
        <v>352</v>
      </c>
    </row>
    <row r="700" spans="1:5" x14ac:dyDescent="0.2">
      <c r="A700" s="562"/>
      <c r="B700" s="562"/>
      <c r="C700" s="562"/>
      <c r="D700" s="562"/>
      <c r="E700" s="563"/>
    </row>
    <row r="701" spans="1:5" x14ac:dyDescent="0.2">
      <c r="A701" s="562"/>
      <c r="B701" s="562"/>
      <c r="C701" s="562"/>
      <c r="D701" s="562"/>
      <c r="E701" s="563"/>
    </row>
    <row r="702" spans="1:5" x14ac:dyDescent="0.2">
      <c r="A702" s="562"/>
      <c r="B702" s="562"/>
      <c r="C702" s="562"/>
      <c r="D702" s="562"/>
      <c r="E702" s="563"/>
    </row>
    <row r="703" spans="1:5" x14ac:dyDescent="0.2">
      <c r="A703" s="564"/>
      <c r="B703" s="562"/>
      <c r="C703" s="562"/>
      <c r="D703" s="562"/>
      <c r="E703" s="563"/>
    </row>
    <row r="704" spans="1:5" x14ac:dyDescent="0.2">
      <c r="A704" s="562"/>
      <c r="B704" s="562"/>
      <c r="C704" s="562"/>
      <c r="D704" s="562"/>
      <c r="E704" s="563"/>
    </row>
    <row r="705" spans="1:5" x14ac:dyDescent="0.2">
      <c r="A705" s="562"/>
      <c r="B705" s="562"/>
      <c r="C705" s="562"/>
      <c r="D705" s="562"/>
      <c r="E705" s="563"/>
    </row>
    <row r="706" spans="1:5" x14ac:dyDescent="0.2">
      <c r="A706" s="565"/>
      <c r="B706" s="565"/>
      <c r="C706" s="565"/>
      <c r="D706" s="565"/>
      <c r="E706" s="567"/>
    </row>
    <row r="707" spans="1:5" x14ac:dyDescent="0.2">
      <c r="A707" s="562" t="s">
        <v>1005</v>
      </c>
      <c r="B707" s="562" t="s">
        <v>1005</v>
      </c>
      <c r="C707" s="562">
        <v>3400</v>
      </c>
      <c r="D707" s="562">
        <v>6600</v>
      </c>
      <c r="E707" s="563">
        <f>SUMIFS('Accounting data'!$G$2:$G$37000,'Accounting data'!$J$2:$J$37000,"34*",'Accounting data'!$K$2:$K$37000,"66*")</f>
        <v>0</v>
      </c>
    </row>
    <row r="708" spans="1:5" x14ac:dyDescent="0.2">
      <c r="A708" s="562" t="s">
        <v>1006</v>
      </c>
      <c r="B708" s="562" t="s">
        <v>1005</v>
      </c>
      <c r="C708" s="562">
        <v>3400</v>
      </c>
      <c r="D708" s="562">
        <v>6600</v>
      </c>
      <c r="E708" s="563">
        <f>SUMIFS('Accounting data'!$G$2:$G$37000,'Accounting data'!$H$2:$H$37000,"9999*",'Accounting data'!$J$2:$J$37000,"34*",'Accounting data'!$K$2:$K$37000,"66*")</f>
        <v>0</v>
      </c>
    </row>
    <row r="709" spans="1:5" x14ac:dyDescent="0.2">
      <c r="A709" s="562" t="s">
        <v>1005</v>
      </c>
      <c r="B709" s="562" t="s">
        <v>1007</v>
      </c>
      <c r="C709" s="562">
        <v>3400</v>
      </c>
      <c r="D709" s="562">
        <v>6600</v>
      </c>
      <c r="E709" s="563">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4" t="s">
        <v>1006</v>
      </c>
      <c r="B710" s="562" t="s">
        <v>1007</v>
      </c>
      <c r="C710" s="562">
        <v>3400</v>
      </c>
      <c r="D710" s="562">
        <v>6600</v>
      </c>
      <c r="E710" s="563">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2"/>
      <c r="B711" s="562"/>
      <c r="C711" s="562"/>
      <c r="D711" s="562"/>
      <c r="E711" s="563"/>
    </row>
    <row r="712" spans="1:5" x14ac:dyDescent="0.2">
      <c r="A712" s="562"/>
      <c r="B712" s="562"/>
      <c r="C712" s="562"/>
      <c r="D712" s="562"/>
      <c r="E712" s="563"/>
    </row>
    <row r="713" spans="1:5" x14ac:dyDescent="0.2">
      <c r="A713" s="565" t="s">
        <v>1065</v>
      </c>
      <c r="B713" s="565"/>
      <c r="C713" s="565"/>
      <c r="D713" s="565"/>
      <c r="E713" s="567">
        <f>(E707-E708-E709)+(E710+E711+E712)</f>
        <v>0</v>
      </c>
    </row>
    <row r="714" spans="1:5" x14ac:dyDescent="0.2">
      <c r="A714" s="562" t="s">
        <v>1005</v>
      </c>
      <c r="B714" s="562" t="s">
        <v>1005</v>
      </c>
      <c r="C714" s="562">
        <v>4000</v>
      </c>
      <c r="D714" s="562">
        <v>6600</v>
      </c>
      <c r="E714" s="563">
        <f>SUMIFS('Accounting data'!$G$2:$G$37000,'Accounting data'!$J$2:$J$37000,"4*",'Accounting data'!$K$2:$K$37000,"66*")</f>
        <v>0</v>
      </c>
    </row>
    <row r="715" spans="1:5" x14ac:dyDescent="0.2">
      <c r="A715" s="562" t="s">
        <v>1006</v>
      </c>
      <c r="B715" s="562" t="s">
        <v>1005</v>
      </c>
      <c r="C715" s="562">
        <v>4000</v>
      </c>
      <c r="D715" s="562">
        <v>6600</v>
      </c>
      <c r="E715" s="563">
        <f>SUMIFS('Accounting data'!$G$2:$G$37000,'Accounting data'!$H$2:$H$37000,"9999*",'Accounting data'!$J$2:$J$37000,"4*",'Accounting data'!$K$2:$K$37000,"66*")</f>
        <v>0</v>
      </c>
    </row>
    <row r="716" spans="1:5" x14ac:dyDescent="0.2">
      <c r="A716" s="562" t="s">
        <v>1005</v>
      </c>
      <c r="B716" s="562" t="s">
        <v>1007</v>
      </c>
      <c r="C716" s="562">
        <v>4000</v>
      </c>
      <c r="D716" s="562">
        <v>6600</v>
      </c>
      <c r="E716" s="563">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4" t="s">
        <v>1006</v>
      </c>
      <c r="B717" s="562" t="s">
        <v>1007</v>
      </c>
      <c r="C717" s="562">
        <v>4000</v>
      </c>
      <c r="D717" s="562">
        <v>6600</v>
      </c>
      <c r="E717" s="563">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2"/>
      <c r="B718" s="562"/>
      <c r="C718" s="562"/>
      <c r="D718" s="562"/>
      <c r="E718" s="563"/>
    </row>
    <row r="719" spans="1:5" x14ac:dyDescent="0.2">
      <c r="A719" s="562"/>
      <c r="B719" s="562"/>
      <c r="C719" s="562"/>
      <c r="D719" s="562"/>
      <c r="E719" s="563"/>
    </row>
    <row r="720" spans="1:5" x14ac:dyDescent="0.2">
      <c r="A720" s="565" t="s">
        <v>1066</v>
      </c>
      <c r="B720" s="565"/>
      <c r="C720" s="565"/>
      <c r="D720" s="565"/>
      <c r="E720" s="567">
        <f>(E714-E715-E716)+(E717+E718+E719)</f>
        <v>0</v>
      </c>
    </row>
    <row r="721" spans="1:5" x14ac:dyDescent="0.2">
      <c r="A721" s="573" t="s">
        <v>1067</v>
      </c>
      <c r="B721" s="573"/>
      <c r="C721" s="573"/>
      <c r="D721" s="573"/>
      <c r="E721" s="574">
        <f>E636+E643+E650+E657+E664+E671+E678+E685+E692+E699+E706+E713</f>
        <v>1006561</v>
      </c>
    </row>
    <row r="722" spans="1:5" x14ac:dyDescent="0.2">
      <c r="A722" s="562" t="s">
        <v>1021</v>
      </c>
      <c r="B722" s="562" t="s">
        <v>1005</v>
      </c>
      <c r="C722" s="562">
        <v>1000</v>
      </c>
      <c r="D722" s="562">
        <v>6600</v>
      </c>
      <c r="E722" s="563">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176969</v>
      </c>
    </row>
    <row r="723" spans="1:5" x14ac:dyDescent="0.2">
      <c r="A723" s="562" t="s">
        <v>1021</v>
      </c>
      <c r="B723" s="562" t="s">
        <v>1005</v>
      </c>
      <c r="C723" s="562">
        <v>2000</v>
      </c>
      <c r="D723" s="562">
        <v>6600</v>
      </c>
      <c r="E723" s="563">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72</v>
      </c>
    </row>
    <row r="724" spans="1:5" x14ac:dyDescent="0.2">
      <c r="A724" s="562" t="s">
        <v>1021</v>
      </c>
      <c r="B724" s="562" t="s">
        <v>1005</v>
      </c>
      <c r="C724" s="562">
        <v>3000</v>
      </c>
      <c r="D724" s="562">
        <v>6600</v>
      </c>
      <c r="E724" s="563">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2" t="s">
        <v>1021</v>
      </c>
      <c r="B725" s="564">
        <v>700</v>
      </c>
      <c r="C725" s="562">
        <v>1000</v>
      </c>
      <c r="D725" s="562">
        <v>6600</v>
      </c>
      <c r="E725" s="563">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2" t="s">
        <v>1021</v>
      </c>
      <c r="B726" s="564">
        <v>800</v>
      </c>
      <c r="C726" s="562">
        <v>1000</v>
      </c>
      <c r="D726" s="562">
        <v>6600</v>
      </c>
      <c r="E726" s="563">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2" t="s">
        <v>1021</v>
      </c>
      <c r="B727" s="564">
        <v>900</v>
      </c>
      <c r="C727" s="562">
        <v>1000</v>
      </c>
      <c r="D727" s="562">
        <v>6600</v>
      </c>
      <c r="E727" s="563">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2" t="s">
        <v>1021</v>
      </c>
      <c r="B728" s="564">
        <v>700</v>
      </c>
      <c r="C728" s="562">
        <v>2000</v>
      </c>
      <c r="D728" s="562">
        <v>6600</v>
      </c>
      <c r="E728" s="563">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2" t="s">
        <v>1021</v>
      </c>
      <c r="B729" s="564">
        <v>800</v>
      </c>
      <c r="C729" s="562">
        <v>2000</v>
      </c>
      <c r="D729" s="562">
        <v>6600</v>
      </c>
      <c r="E729" s="563">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2" t="s">
        <v>1021</v>
      </c>
      <c r="B730" s="564">
        <v>900</v>
      </c>
      <c r="C730" s="562">
        <v>2000</v>
      </c>
      <c r="D730" s="562">
        <v>6600</v>
      </c>
      <c r="E730" s="563">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2" t="s">
        <v>1021</v>
      </c>
      <c r="B731" s="564">
        <v>700</v>
      </c>
      <c r="C731" s="562">
        <v>3000</v>
      </c>
      <c r="D731" s="562">
        <v>6600</v>
      </c>
      <c r="E731" s="563">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2" t="s">
        <v>1021</v>
      </c>
      <c r="B732" s="564">
        <v>800</v>
      </c>
      <c r="C732" s="562">
        <v>3000</v>
      </c>
      <c r="D732" s="562">
        <v>6600</v>
      </c>
      <c r="E732" s="563">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2" t="s">
        <v>1021</v>
      </c>
      <c r="B733" s="564">
        <v>900</v>
      </c>
      <c r="C733" s="562">
        <v>3000</v>
      </c>
      <c r="D733" s="562">
        <v>6600</v>
      </c>
      <c r="E733" s="563">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5" t="s">
        <v>1068</v>
      </c>
      <c r="B734" s="565"/>
      <c r="C734" s="565"/>
      <c r="D734" s="565"/>
      <c r="E734" s="567">
        <f>(E722+E723+E724)-(E725+E726+E727+E728+E729+E730+E731+E732+E733)</f>
        <v>177041</v>
      </c>
    </row>
    <row r="735" spans="1:5" x14ac:dyDescent="0.2">
      <c r="A735" s="562"/>
      <c r="B735" s="562"/>
      <c r="C735" s="562"/>
      <c r="D735" s="562"/>
      <c r="E735" s="563"/>
    </row>
    <row r="736" spans="1:5" x14ac:dyDescent="0.2">
      <c r="A736" s="562"/>
      <c r="B736" s="562"/>
      <c r="C736" s="562"/>
      <c r="D736" s="562"/>
      <c r="E736" s="563"/>
    </row>
    <row r="737" spans="1:5" x14ac:dyDescent="0.2">
      <c r="A737" s="562"/>
      <c r="B737" s="562"/>
      <c r="C737" s="562"/>
      <c r="D737" s="562"/>
      <c r="E737" s="563"/>
    </row>
    <row r="738" spans="1:5" x14ac:dyDescent="0.2">
      <c r="A738" s="564"/>
      <c r="B738" s="562"/>
      <c r="C738" s="562"/>
      <c r="D738" s="562"/>
      <c r="E738" s="563"/>
    </row>
    <row r="739" spans="1:5" x14ac:dyDescent="0.2">
      <c r="A739" s="562"/>
      <c r="B739" s="562"/>
      <c r="C739" s="562"/>
      <c r="D739" s="562"/>
      <c r="E739" s="563"/>
    </row>
    <row r="740" spans="1:5" x14ac:dyDescent="0.2">
      <c r="A740" s="562"/>
      <c r="B740" s="562"/>
      <c r="C740" s="562"/>
      <c r="D740" s="562"/>
      <c r="E740" s="563"/>
    </row>
    <row r="741" spans="1:5" x14ac:dyDescent="0.2">
      <c r="A741" s="562"/>
      <c r="B741" s="562"/>
      <c r="C741" s="562"/>
      <c r="D741" s="571"/>
      <c r="E741" s="563"/>
    </row>
    <row r="742" spans="1:5" x14ac:dyDescent="0.2">
      <c r="A742" s="562"/>
      <c r="B742" s="562"/>
      <c r="C742" s="562"/>
      <c r="D742" s="571"/>
      <c r="E742" s="563"/>
    </row>
    <row r="743" spans="1:5" x14ac:dyDescent="0.2">
      <c r="A743" s="562"/>
      <c r="B743" s="562"/>
      <c r="C743" s="562"/>
      <c r="D743" s="571"/>
      <c r="E743" s="563"/>
    </row>
    <row r="744" spans="1:5" x14ac:dyDescent="0.2">
      <c r="A744" s="564"/>
      <c r="B744" s="562"/>
      <c r="C744" s="562"/>
      <c r="D744" s="571"/>
      <c r="E744" s="563"/>
    </row>
    <row r="745" spans="1:5" x14ac:dyDescent="0.2">
      <c r="A745" s="562"/>
      <c r="B745" s="562"/>
      <c r="C745" s="562"/>
      <c r="D745" s="571"/>
      <c r="E745" s="563"/>
    </row>
    <row r="746" spans="1:5" x14ac:dyDescent="0.2">
      <c r="A746" s="562"/>
      <c r="B746" s="562"/>
      <c r="C746" s="562"/>
      <c r="D746" s="571"/>
      <c r="E746" s="563"/>
    </row>
    <row r="747" spans="1:5" x14ac:dyDescent="0.2">
      <c r="A747" s="565"/>
      <c r="B747" s="565"/>
      <c r="C747" s="565"/>
      <c r="D747" s="565"/>
      <c r="E747" s="567"/>
    </row>
    <row r="748" spans="1:5" x14ac:dyDescent="0.2">
      <c r="A748" s="562"/>
      <c r="B748" s="562"/>
      <c r="C748" s="562"/>
      <c r="D748" s="562"/>
      <c r="E748" s="563"/>
    </row>
    <row r="749" spans="1:5" x14ac:dyDescent="0.2">
      <c r="A749" s="562"/>
      <c r="B749" s="562"/>
      <c r="C749" s="562"/>
      <c r="D749" s="562"/>
      <c r="E749" s="563"/>
    </row>
    <row r="750" spans="1:5" x14ac:dyDescent="0.2">
      <c r="A750" s="562"/>
      <c r="B750" s="562"/>
      <c r="C750" s="562"/>
      <c r="D750" s="562"/>
      <c r="E750" s="563"/>
    </row>
    <row r="751" spans="1:5" x14ac:dyDescent="0.2">
      <c r="A751" s="564"/>
      <c r="B751" s="562"/>
      <c r="C751" s="562"/>
      <c r="D751" s="562"/>
      <c r="E751" s="563"/>
    </row>
    <row r="752" spans="1:5" x14ac:dyDescent="0.2">
      <c r="A752" s="562"/>
      <c r="B752" s="562"/>
      <c r="C752" s="562"/>
      <c r="D752" s="562"/>
      <c r="E752" s="563"/>
    </row>
    <row r="753" spans="1:5" x14ac:dyDescent="0.2">
      <c r="A753" s="562"/>
      <c r="B753" s="562"/>
      <c r="C753" s="562"/>
      <c r="D753" s="562"/>
      <c r="E753" s="563"/>
    </row>
    <row r="754" spans="1:5" x14ac:dyDescent="0.2">
      <c r="A754" s="562"/>
      <c r="B754" s="562"/>
      <c r="C754" s="562"/>
      <c r="D754" s="571"/>
      <c r="E754" s="563"/>
    </row>
    <row r="755" spans="1:5" x14ac:dyDescent="0.2">
      <c r="A755" s="562"/>
      <c r="B755" s="562"/>
      <c r="C755" s="562"/>
      <c r="D755" s="571"/>
      <c r="E755" s="563"/>
    </row>
    <row r="756" spans="1:5" x14ac:dyDescent="0.2">
      <c r="A756" s="562"/>
      <c r="B756" s="562"/>
      <c r="C756" s="562"/>
      <c r="D756" s="571"/>
      <c r="E756" s="563"/>
    </row>
    <row r="757" spans="1:5" x14ac:dyDescent="0.2">
      <c r="A757" s="564"/>
      <c r="B757" s="562"/>
      <c r="C757" s="562"/>
      <c r="D757" s="571"/>
      <c r="E757" s="563"/>
    </row>
    <row r="758" spans="1:5" x14ac:dyDescent="0.2">
      <c r="A758" s="562"/>
      <c r="B758" s="562"/>
      <c r="C758" s="562"/>
      <c r="D758" s="571"/>
      <c r="E758" s="563"/>
    </row>
    <row r="759" spans="1:5" x14ac:dyDescent="0.2">
      <c r="A759" s="562"/>
      <c r="B759" s="562"/>
      <c r="C759" s="562"/>
      <c r="D759" s="571"/>
      <c r="E759" s="563"/>
    </row>
    <row r="760" spans="1:5" x14ac:dyDescent="0.2">
      <c r="A760" s="565"/>
      <c r="B760" s="565"/>
      <c r="C760" s="565"/>
      <c r="D760" s="565"/>
      <c r="E760" s="567"/>
    </row>
    <row r="761" spans="1:5" x14ac:dyDescent="0.2">
      <c r="A761" s="562"/>
      <c r="B761" s="562"/>
      <c r="C761" s="562"/>
      <c r="D761" s="562"/>
      <c r="E761" s="563"/>
    </row>
    <row r="762" spans="1:5" x14ac:dyDescent="0.2">
      <c r="A762" s="562"/>
      <c r="B762" s="562"/>
      <c r="C762" s="562"/>
      <c r="D762" s="562"/>
      <c r="E762" s="563"/>
    </row>
    <row r="763" spans="1:5" x14ac:dyDescent="0.2">
      <c r="A763" s="562"/>
      <c r="B763" s="562"/>
      <c r="C763" s="562"/>
      <c r="D763" s="562"/>
      <c r="E763" s="563"/>
    </row>
    <row r="764" spans="1:5" x14ac:dyDescent="0.2">
      <c r="A764" s="564"/>
      <c r="B764" s="562"/>
      <c r="C764" s="562"/>
      <c r="D764" s="562"/>
      <c r="E764" s="563"/>
    </row>
    <row r="765" spans="1:5" x14ac:dyDescent="0.2">
      <c r="A765" s="562"/>
      <c r="B765" s="562"/>
      <c r="C765" s="562"/>
      <c r="D765" s="562"/>
      <c r="E765" s="563"/>
    </row>
    <row r="766" spans="1:5" x14ac:dyDescent="0.2">
      <c r="A766" s="562"/>
      <c r="B766" s="562"/>
      <c r="C766" s="562"/>
      <c r="D766" s="562"/>
      <c r="E766" s="563"/>
    </row>
    <row r="767" spans="1:5" x14ac:dyDescent="0.2">
      <c r="A767" s="562"/>
      <c r="B767" s="562"/>
      <c r="C767" s="562"/>
      <c r="D767" s="571"/>
      <c r="E767" s="563"/>
    </row>
    <row r="768" spans="1:5" x14ac:dyDescent="0.2">
      <c r="A768" s="562"/>
      <c r="B768" s="562"/>
      <c r="C768" s="562"/>
      <c r="D768" s="571"/>
      <c r="E768" s="563"/>
    </row>
    <row r="769" spans="1:5" x14ac:dyDescent="0.2">
      <c r="A769" s="562"/>
      <c r="B769" s="562"/>
      <c r="C769" s="562"/>
      <c r="D769" s="571"/>
      <c r="E769" s="563"/>
    </row>
    <row r="770" spans="1:5" x14ac:dyDescent="0.2">
      <c r="A770" s="564"/>
      <c r="B770" s="562"/>
      <c r="C770" s="562"/>
      <c r="D770" s="571"/>
      <c r="E770" s="563"/>
    </row>
    <row r="771" spans="1:5" x14ac:dyDescent="0.2">
      <c r="A771" s="562"/>
      <c r="B771" s="562"/>
      <c r="C771" s="562"/>
      <c r="D771" s="571"/>
      <c r="E771" s="563"/>
    </row>
    <row r="772" spans="1:5" x14ac:dyDescent="0.2">
      <c r="A772" s="562"/>
      <c r="B772" s="562"/>
      <c r="C772" s="562"/>
      <c r="D772" s="571"/>
      <c r="E772" s="563"/>
    </row>
    <row r="773" spans="1:5" x14ac:dyDescent="0.2">
      <c r="A773" s="565"/>
      <c r="B773" s="565"/>
      <c r="C773" s="565"/>
      <c r="D773" s="565"/>
      <c r="E773" s="567"/>
    </row>
    <row r="774" spans="1:5" x14ac:dyDescent="0.2">
      <c r="A774" s="562"/>
      <c r="B774" s="562"/>
      <c r="C774" s="562"/>
      <c r="D774" s="562"/>
      <c r="E774" s="563"/>
    </row>
    <row r="775" spans="1:5" x14ac:dyDescent="0.2">
      <c r="A775" s="562"/>
      <c r="B775" s="562"/>
      <c r="C775" s="562"/>
      <c r="D775" s="562"/>
      <c r="E775" s="563"/>
    </row>
    <row r="776" spans="1:5" x14ac:dyDescent="0.2">
      <c r="A776" s="562"/>
      <c r="B776" s="562"/>
      <c r="C776" s="562"/>
      <c r="D776" s="562"/>
      <c r="E776" s="563"/>
    </row>
    <row r="777" spans="1:5" x14ac:dyDescent="0.2">
      <c r="A777" s="564"/>
      <c r="B777" s="562"/>
      <c r="C777" s="562"/>
      <c r="D777" s="562"/>
      <c r="E777" s="563"/>
    </row>
    <row r="778" spans="1:5" x14ac:dyDescent="0.2">
      <c r="A778" s="562"/>
      <c r="B778" s="562"/>
      <c r="C778" s="562"/>
      <c r="D778" s="562"/>
      <c r="E778" s="563"/>
    </row>
    <row r="779" spans="1:5" x14ac:dyDescent="0.2">
      <c r="A779" s="562"/>
      <c r="B779" s="562"/>
      <c r="C779" s="562"/>
      <c r="D779" s="562"/>
      <c r="E779" s="563"/>
    </row>
    <row r="780" spans="1:5" x14ac:dyDescent="0.2">
      <c r="A780" s="562"/>
      <c r="B780" s="562"/>
      <c r="C780" s="562"/>
      <c r="D780" s="571"/>
      <c r="E780" s="563"/>
    </row>
    <row r="781" spans="1:5" x14ac:dyDescent="0.2">
      <c r="A781" s="562"/>
      <c r="B781" s="562"/>
      <c r="C781" s="562"/>
      <c r="D781" s="571"/>
      <c r="E781" s="563"/>
    </row>
    <row r="782" spans="1:5" x14ac:dyDescent="0.2">
      <c r="A782" s="562"/>
      <c r="B782" s="562"/>
      <c r="C782" s="562"/>
      <c r="D782" s="571"/>
      <c r="E782" s="563"/>
    </row>
    <row r="783" spans="1:5" x14ac:dyDescent="0.2">
      <c r="A783" s="564"/>
      <c r="B783" s="562"/>
      <c r="C783" s="562"/>
      <c r="D783" s="571"/>
      <c r="E783" s="563"/>
    </row>
    <row r="784" spans="1:5" x14ac:dyDescent="0.2">
      <c r="A784" s="562"/>
      <c r="B784" s="562"/>
      <c r="C784" s="562"/>
      <c r="D784" s="571"/>
      <c r="E784" s="563"/>
    </row>
    <row r="785" spans="1:5" x14ac:dyDescent="0.2">
      <c r="A785" s="562"/>
      <c r="B785" s="562"/>
      <c r="C785" s="562"/>
      <c r="D785" s="571"/>
      <c r="E785" s="563"/>
    </row>
    <row r="786" spans="1:5" x14ac:dyDescent="0.2">
      <c r="A786" s="565"/>
      <c r="B786" s="565"/>
      <c r="C786" s="565"/>
      <c r="D786" s="565"/>
      <c r="E786" s="567"/>
    </row>
    <row r="787" spans="1:5" x14ac:dyDescent="0.2">
      <c r="A787" s="562"/>
      <c r="B787" s="562"/>
      <c r="C787" s="562"/>
      <c r="D787" s="562"/>
      <c r="E787" s="563"/>
    </row>
    <row r="788" spans="1:5" x14ac:dyDescent="0.2">
      <c r="A788" s="562"/>
      <c r="B788" s="562"/>
      <c r="C788" s="562"/>
      <c r="D788" s="562"/>
      <c r="E788" s="563"/>
    </row>
    <row r="789" spans="1:5" x14ac:dyDescent="0.2">
      <c r="A789" s="562"/>
      <c r="B789" s="562"/>
      <c r="C789" s="562"/>
      <c r="D789" s="562"/>
      <c r="E789" s="563"/>
    </row>
    <row r="790" spans="1:5" x14ac:dyDescent="0.2">
      <c r="A790" s="564"/>
      <c r="B790" s="562"/>
      <c r="C790" s="562"/>
      <c r="D790" s="562"/>
      <c r="E790" s="563"/>
    </row>
    <row r="791" spans="1:5" x14ac:dyDescent="0.2">
      <c r="A791" s="562"/>
      <c r="B791" s="562"/>
      <c r="C791" s="562"/>
      <c r="D791" s="562"/>
      <c r="E791" s="563"/>
    </row>
    <row r="792" spans="1:5" x14ac:dyDescent="0.2">
      <c r="A792" s="562"/>
      <c r="B792" s="562"/>
      <c r="C792" s="562"/>
      <c r="D792" s="562"/>
      <c r="E792" s="563"/>
    </row>
    <row r="793" spans="1:5" x14ac:dyDescent="0.2">
      <c r="A793" s="562"/>
      <c r="B793" s="562"/>
      <c r="C793" s="562"/>
      <c r="D793" s="571"/>
      <c r="E793" s="563"/>
    </row>
    <row r="794" spans="1:5" x14ac:dyDescent="0.2">
      <c r="A794" s="562"/>
      <c r="B794" s="562"/>
      <c r="C794" s="562"/>
      <c r="D794" s="571"/>
      <c r="E794" s="563"/>
    </row>
    <row r="795" spans="1:5" x14ac:dyDescent="0.2">
      <c r="A795" s="562"/>
      <c r="B795" s="562"/>
      <c r="C795" s="562"/>
      <c r="D795" s="571"/>
      <c r="E795" s="563"/>
    </row>
    <row r="796" spans="1:5" x14ac:dyDescent="0.2">
      <c r="A796" s="564"/>
      <c r="B796" s="562"/>
      <c r="C796" s="562"/>
      <c r="D796" s="571"/>
      <c r="E796" s="563"/>
    </row>
    <row r="797" spans="1:5" x14ac:dyDescent="0.2">
      <c r="A797" s="562"/>
      <c r="B797" s="562"/>
      <c r="C797" s="562"/>
      <c r="D797" s="571"/>
      <c r="E797" s="563"/>
    </row>
    <row r="798" spans="1:5" x14ac:dyDescent="0.2">
      <c r="A798" s="562"/>
      <c r="B798" s="562"/>
      <c r="C798" s="562"/>
      <c r="D798" s="571"/>
      <c r="E798" s="563"/>
    </row>
    <row r="799" spans="1:5" x14ac:dyDescent="0.2">
      <c r="A799" s="565"/>
      <c r="B799" s="565"/>
      <c r="C799" s="565"/>
      <c r="D799" s="565"/>
      <c r="E799" s="567"/>
    </row>
    <row r="800" spans="1:5" x14ac:dyDescent="0.2">
      <c r="A800" s="562"/>
      <c r="B800" s="562"/>
      <c r="C800" s="562"/>
      <c r="D800" s="562"/>
      <c r="E800" s="563"/>
    </row>
    <row r="801" spans="1:5" x14ac:dyDescent="0.2">
      <c r="A801" s="562"/>
      <c r="B801" s="562"/>
      <c r="C801" s="562"/>
      <c r="D801" s="562"/>
      <c r="E801" s="563"/>
    </row>
    <row r="802" spans="1:5" x14ac:dyDescent="0.2">
      <c r="A802" s="562"/>
      <c r="B802" s="562"/>
      <c r="C802" s="562"/>
      <c r="D802" s="562"/>
      <c r="E802" s="563"/>
    </row>
    <row r="803" spans="1:5" x14ac:dyDescent="0.2">
      <c r="A803" s="564"/>
      <c r="B803" s="562"/>
      <c r="C803" s="562"/>
      <c r="D803" s="562"/>
      <c r="E803" s="563"/>
    </row>
    <row r="804" spans="1:5" x14ac:dyDescent="0.2">
      <c r="A804" s="562"/>
      <c r="B804" s="562"/>
      <c r="C804" s="562"/>
      <c r="D804" s="562"/>
      <c r="E804" s="563"/>
    </row>
    <row r="805" spans="1:5" x14ac:dyDescent="0.2">
      <c r="A805" s="562"/>
      <c r="B805" s="562"/>
      <c r="C805" s="562"/>
      <c r="D805" s="562"/>
      <c r="E805" s="563"/>
    </row>
    <row r="806" spans="1:5" x14ac:dyDescent="0.2">
      <c r="A806" s="562"/>
      <c r="B806" s="562"/>
      <c r="C806" s="562"/>
      <c r="D806" s="571"/>
      <c r="E806" s="563"/>
    </row>
    <row r="807" spans="1:5" x14ac:dyDescent="0.2">
      <c r="A807" s="562"/>
      <c r="B807" s="562"/>
      <c r="C807" s="562"/>
      <c r="D807" s="571"/>
      <c r="E807" s="563"/>
    </row>
    <row r="808" spans="1:5" x14ac:dyDescent="0.2">
      <c r="A808" s="562"/>
      <c r="B808" s="562"/>
      <c r="C808" s="562"/>
      <c r="D808" s="571"/>
      <c r="E808" s="563"/>
    </row>
    <row r="809" spans="1:5" x14ac:dyDescent="0.2">
      <c r="A809" s="564"/>
      <c r="B809" s="562"/>
      <c r="C809" s="562"/>
      <c r="D809" s="571"/>
      <c r="E809" s="563"/>
    </row>
    <row r="810" spans="1:5" x14ac:dyDescent="0.2">
      <c r="A810" s="562"/>
      <c r="B810" s="562"/>
      <c r="C810" s="562"/>
      <c r="D810" s="571"/>
      <c r="E810" s="563"/>
    </row>
    <row r="811" spans="1:5" x14ac:dyDescent="0.2">
      <c r="A811" s="562"/>
      <c r="B811" s="562"/>
      <c r="C811" s="562"/>
      <c r="D811" s="571"/>
      <c r="E811" s="563"/>
    </row>
    <row r="812" spans="1:5" x14ac:dyDescent="0.2">
      <c r="A812" s="565"/>
      <c r="B812" s="565"/>
      <c r="C812" s="565"/>
      <c r="D812" s="565"/>
      <c r="E812" s="567"/>
    </row>
    <row r="813" spans="1:5" x14ac:dyDescent="0.2">
      <c r="A813" s="562"/>
      <c r="B813" s="562"/>
      <c r="C813" s="562"/>
      <c r="D813" s="562"/>
      <c r="E813" s="563"/>
    </row>
    <row r="814" spans="1:5" x14ac:dyDescent="0.2">
      <c r="A814" s="562"/>
      <c r="B814" s="562"/>
      <c r="C814" s="562"/>
      <c r="D814" s="562"/>
      <c r="E814" s="563"/>
    </row>
    <row r="815" spans="1:5" x14ac:dyDescent="0.2">
      <c r="A815" s="562"/>
      <c r="B815" s="562"/>
      <c r="C815" s="562"/>
      <c r="D815" s="562"/>
      <c r="E815" s="563"/>
    </row>
    <row r="816" spans="1:5" x14ac:dyDescent="0.2">
      <c r="A816" s="564"/>
      <c r="B816" s="562"/>
      <c r="C816" s="562"/>
      <c r="D816" s="562"/>
      <c r="E816" s="563"/>
    </row>
    <row r="817" spans="1:5" x14ac:dyDescent="0.2">
      <c r="A817" s="562"/>
      <c r="B817" s="562"/>
      <c r="C817" s="562"/>
      <c r="D817" s="562"/>
      <c r="E817" s="563"/>
    </row>
    <row r="818" spans="1:5" x14ac:dyDescent="0.2">
      <c r="A818" s="562"/>
      <c r="B818" s="562"/>
      <c r="C818" s="562"/>
      <c r="D818" s="562"/>
      <c r="E818" s="563"/>
    </row>
    <row r="819" spans="1:5" x14ac:dyDescent="0.2">
      <c r="A819" s="562"/>
      <c r="B819" s="562"/>
      <c r="C819" s="562"/>
      <c r="D819" s="571"/>
      <c r="E819" s="563"/>
    </row>
    <row r="820" spans="1:5" x14ac:dyDescent="0.2">
      <c r="A820" s="562"/>
      <c r="B820" s="562"/>
      <c r="C820" s="562"/>
      <c r="D820" s="571"/>
      <c r="E820" s="563"/>
    </row>
    <row r="821" spans="1:5" x14ac:dyDescent="0.2">
      <c r="A821" s="562"/>
      <c r="B821" s="562"/>
      <c r="C821" s="562"/>
      <c r="D821" s="571"/>
      <c r="E821" s="563"/>
    </row>
    <row r="822" spans="1:5" x14ac:dyDescent="0.2">
      <c r="A822" s="564"/>
      <c r="B822" s="562"/>
      <c r="C822" s="562"/>
      <c r="D822" s="571"/>
      <c r="E822" s="563"/>
    </row>
    <row r="823" spans="1:5" x14ac:dyDescent="0.2">
      <c r="A823" s="562"/>
      <c r="B823" s="562"/>
      <c r="C823" s="562"/>
      <c r="D823" s="571"/>
      <c r="E823" s="563"/>
    </row>
    <row r="824" spans="1:5" x14ac:dyDescent="0.2">
      <c r="A824" s="562"/>
      <c r="B824" s="562"/>
      <c r="C824" s="562"/>
      <c r="D824" s="571"/>
      <c r="E824" s="563"/>
    </row>
    <row r="825" spans="1:5" x14ac:dyDescent="0.2">
      <c r="A825" s="565"/>
      <c r="B825" s="565"/>
      <c r="C825" s="565"/>
      <c r="D825" s="565"/>
      <c r="E825" s="567"/>
    </row>
    <row r="826" spans="1:5" x14ac:dyDescent="0.2">
      <c r="A826" s="562"/>
      <c r="B826" s="562"/>
      <c r="C826" s="562"/>
      <c r="D826" s="562"/>
      <c r="E826" s="563"/>
    </row>
    <row r="827" spans="1:5" x14ac:dyDescent="0.2">
      <c r="A827" s="562"/>
      <c r="B827" s="562"/>
      <c r="C827" s="562"/>
      <c r="D827" s="562"/>
      <c r="E827" s="563"/>
    </row>
    <row r="828" spans="1:5" x14ac:dyDescent="0.2">
      <c r="A828" s="562"/>
      <c r="B828" s="562"/>
      <c r="C828" s="562"/>
      <c r="D828" s="562"/>
      <c r="E828" s="563"/>
    </row>
    <row r="829" spans="1:5" x14ac:dyDescent="0.2">
      <c r="A829" s="564"/>
      <c r="B829" s="562"/>
      <c r="C829" s="562"/>
      <c r="D829" s="562"/>
      <c r="E829" s="563"/>
    </row>
    <row r="830" spans="1:5" x14ac:dyDescent="0.2">
      <c r="A830" s="562"/>
      <c r="B830" s="562"/>
      <c r="C830" s="562"/>
      <c r="D830" s="562"/>
      <c r="E830" s="563"/>
    </row>
    <row r="831" spans="1:5" x14ac:dyDescent="0.2">
      <c r="A831" s="562"/>
      <c r="B831" s="562"/>
      <c r="C831" s="562"/>
      <c r="D831" s="562"/>
      <c r="E831" s="563"/>
    </row>
    <row r="832" spans="1:5" x14ac:dyDescent="0.2">
      <c r="A832" s="562"/>
      <c r="B832" s="562"/>
      <c r="C832" s="562"/>
      <c r="D832" s="571"/>
      <c r="E832" s="563"/>
    </row>
    <row r="833" spans="1:5" x14ac:dyDescent="0.2">
      <c r="A833" s="562"/>
      <c r="B833" s="562"/>
      <c r="C833" s="562"/>
      <c r="D833" s="571"/>
      <c r="E833" s="563"/>
    </row>
    <row r="834" spans="1:5" x14ac:dyDescent="0.2">
      <c r="A834" s="562"/>
      <c r="B834" s="562"/>
      <c r="C834" s="562"/>
      <c r="D834" s="571"/>
      <c r="E834" s="563"/>
    </row>
    <row r="835" spans="1:5" x14ac:dyDescent="0.2">
      <c r="A835" s="564"/>
      <c r="B835" s="562"/>
      <c r="C835" s="562"/>
      <c r="D835" s="571"/>
      <c r="E835" s="563"/>
    </row>
    <row r="836" spans="1:5" x14ac:dyDescent="0.2">
      <c r="A836" s="562"/>
      <c r="B836" s="562"/>
      <c r="C836" s="562"/>
      <c r="D836" s="571"/>
      <c r="E836" s="563"/>
    </row>
    <row r="837" spans="1:5" x14ac:dyDescent="0.2">
      <c r="A837" s="562"/>
      <c r="B837" s="562"/>
      <c r="C837" s="562"/>
      <c r="D837" s="571"/>
      <c r="E837" s="563"/>
    </row>
    <row r="838" spans="1:5" x14ac:dyDescent="0.2">
      <c r="A838" s="565"/>
      <c r="B838" s="565"/>
      <c r="C838" s="565"/>
      <c r="D838" s="565"/>
      <c r="E838" s="567"/>
    </row>
    <row r="839" spans="1:5" x14ac:dyDescent="0.2">
      <c r="A839" s="562"/>
      <c r="B839" s="562"/>
      <c r="C839" s="562"/>
      <c r="D839" s="562"/>
      <c r="E839" s="563"/>
    </row>
    <row r="840" spans="1:5" x14ac:dyDescent="0.2">
      <c r="A840" s="562"/>
      <c r="B840" s="562"/>
      <c r="C840" s="562"/>
      <c r="D840" s="562"/>
      <c r="E840" s="563"/>
    </row>
    <row r="841" spans="1:5" x14ac:dyDescent="0.2">
      <c r="A841" s="562"/>
      <c r="B841" s="562"/>
      <c r="C841" s="562"/>
      <c r="D841" s="562"/>
      <c r="E841" s="563"/>
    </row>
    <row r="842" spans="1:5" x14ac:dyDescent="0.2">
      <c r="A842" s="564"/>
      <c r="B842" s="562"/>
      <c r="C842" s="562"/>
      <c r="D842" s="562"/>
      <c r="E842" s="563"/>
    </row>
    <row r="843" spans="1:5" x14ac:dyDescent="0.2">
      <c r="A843" s="562"/>
      <c r="B843" s="562"/>
      <c r="C843" s="562"/>
      <c r="D843" s="562"/>
      <c r="E843" s="563"/>
    </row>
    <row r="844" spans="1:5" x14ac:dyDescent="0.2">
      <c r="A844" s="562"/>
      <c r="B844" s="562"/>
      <c r="C844" s="562"/>
      <c r="D844" s="562"/>
      <c r="E844" s="563"/>
    </row>
    <row r="845" spans="1:5" x14ac:dyDescent="0.2">
      <c r="A845" s="562"/>
      <c r="B845" s="562"/>
      <c r="C845" s="562"/>
      <c r="D845" s="571"/>
      <c r="E845" s="563"/>
    </row>
    <row r="846" spans="1:5" x14ac:dyDescent="0.2">
      <c r="A846" s="562"/>
      <c r="B846" s="562"/>
      <c r="C846" s="562"/>
      <c r="D846" s="571"/>
      <c r="E846" s="563"/>
    </row>
    <row r="847" spans="1:5" x14ac:dyDescent="0.2">
      <c r="A847" s="562"/>
      <c r="B847" s="562"/>
      <c r="C847" s="562"/>
      <c r="D847" s="571"/>
      <c r="E847" s="563"/>
    </row>
    <row r="848" spans="1:5" x14ac:dyDescent="0.2">
      <c r="A848" s="564"/>
      <c r="B848" s="562"/>
      <c r="C848" s="562"/>
      <c r="D848" s="571"/>
      <c r="E848" s="563"/>
    </row>
    <row r="849" spans="1:5" x14ac:dyDescent="0.2">
      <c r="A849" s="562"/>
      <c r="B849" s="562"/>
      <c r="C849" s="562"/>
      <c r="D849" s="571"/>
      <c r="E849" s="563"/>
    </row>
    <row r="850" spans="1:5" x14ac:dyDescent="0.2">
      <c r="A850" s="562"/>
      <c r="B850" s="562"/>
      <c r="C850" s="562"/>
      <c r="D850" s="571"/>
      <c r="E850" s="563"/>
    </row>
    <row r="851" spans="1:5" x14ac:dyDescent="0.2">
      <c r="A851" s="565"/>
      <c r="B851" s="565"/>
      <c r="C851" s="565"/>
      <c r="D851" s="565"/>
      <c r="E851" s="567"/>
    </row>
    <row r="852" spans="1:5" x14ac:dyDescent="0.2">
      <c r="A852" s="562"/>
      <c r="B852" s="562"/>
      <c r="C852" s="562"/>
      <c r="D852" s="562"/>
      <c r="E852" s="563"/>
    </row>
    <row r="853" spans="1:5" x14ac:dyDescent="0.2">
      <c r="A853" s="562"/>
      <c r="B853" s="562"/>
      <c r="C853" s="562"/>
      <c r="D853" s="562"/>
      <c r="E853" s="563"/>
    </row>
    <row r="854" spans="1:5" x14ac:dyDescent="0.2">
      <c r="A854" s="562"/>
      <c r="B854" s="562"/>
      <c r="C854" s="562"/>
      <c r="D854" s="562"/>
      <c r="E854" s="563"/>
    </row>
    <row r="855" spans="1:5" x14ac:dyDescent="0.2">
      <c r="A855" s="564"/>
      <c r="B855" s="562"/>
      <c r="C855" s="562"/>
      <c r="D855" s="562"/>
      <c r="E855" s="563"/>
    </row>
    <row r="856" spans="1:5" x14ac:dyDescent="0.2">
      <c r="A856" s="562"/>
      <c r="B856" s="562"/>
      <c r="C856" s="562"/>
      <c r="D856" s="562"/>
      <c r="E856" s="563"/>
    </row>
    <row r="857" spans="1:5" x14ac:dyDescent="0.2">
      <c r="A857" s="562"/>
      <c r="B857" s="562"/>
      <c r="C857" s="562"/>
      <c r="D857" s="562"/>
      <c r="E857" s="563"/>
    </row>
    <row r="858" spans="1:5" x14ac:dyDescent="0.2">
      <c r="A858" s="562"/>
      <c r="B858" s="562"/>
      <c r="C858" s="562"/>
      <c r="D858" s="571"/>
      <c r="E858" s="563"/>
    </row>
    <row r="859" spans="1:5" x14ac:dyDescent="0.2">
      <c r="A859" s="562"/>
      <c r="B859" s="562"/>
      <c r="C859" s="562"/>
      <c r="D859" s="571"/>
      <c r="E859" s="563"/>
    </row>
    <row r="860" spans="1:5" x14ac:dyDescent="0.2">
      <c r="A860" s="562"/>
      <c r="B860" s="562"/>
      <c r="C860" s="562"/>
      <c r="D860" s="571"/>
      <c r="E860" s="563"/>
    </row>
    <row r="861" spans="1:5" x14ac:dyDescent="0.2">
      <c r="A861" s="564"/>
      <c r="B861" s="562"/>
      <c r="C861" s="562"/>
      <c r="D861" s="571"/>
      <c r="E861" s="563"/>
    </row>
    <row r="862" spans="1:5" x14ac:dyDescent="0.2">
      <c r="A862" s="562"/>
      <c r="B862" s="562"/>
      <c r="C862" s="562"/>
      <c r="D862" s="571"/>
      <c r="E862" s="563"/>
    </row>
    <row r="863" spans="1:5" x14ac:dyDescent="0.2">
      <c r="A863" s="562"/>
      <c r="B863" s="562"/>
      <c r="C863" s="562"/>
      <c r="D863" s="571"/>
      <c r="E863" s="563"/>
    </row>
    <row r="864" spans="1:5" x14ac:dyDescent="0.2">
      <c r="A864" s="565"/>
      <c r="B864" s="565"/>
      <c r="C864" s="565"/>
      <c r="D864" s="565"/>
      <c r="E864" s="567"/>
    </row>
    <row r="865" spans="1:5" x14ac:dyDescent="0.2">
      <c r="A865" s="562"/>
      <c r="B865" s="562"/>
      <c r="C865" s="562"/>
      <c r="D865" s="562"/>
      <c r="E865" s="563"/>
    </row>
    <row r="866" spans="1:5" x14ac:dyDescent="0.2">
      <c r="A866" s="562"/>
      <c r="B866" s="562"/>
      <c r="C866" s="562"/>
      <c r="D866" s="562"/>
      <c r="E866" s="563"/>
    </row>
    <row r="867" spans="1:5" x14ac:dyDescent="0.2">
      <c r="A867" s="562"/>
      <c r="B867" s="562"/>
      <c r="C867" s="562"/>
      <c r="D867" s="562"/>
      <c r="E867" s="563"/>
    </row>
    <row r="868" spans="1:5" x14ac:dyDescent="0.2">
      <c r="A868" s="564"/>
      <c r="B868" s="562"/>
      <c r="C868" s="562"/>
      <c r="D868" s="562"/>
      <c r="E868" s="563"/>
    </row>
    <row r="869" spans="1:5" x14ac:dyDescent="0.2">
      <c r="A869" s="562"/>
      <c r="B869" s="562"/>
      <c r="C869" s="562"/>
      <c r="D869" s="562"/>
      <c r="E869" s="563"/>
    </row>
    <row r="870" spans="1:5" x14ac:dyDescent="0.2">
      <c r="A870" s="562"/>
      <c r="B870" s="562"/>
      <c r="C870" s="562"/>
      <c r="D870" s="562"/>
      <c r="E870" s="563"/>
    </row>
    <row r="871" spans="1:5" x14ac:dyDescent="0.2">
      <c r="A871" s="562"/>
      <c r="B871" s="562"/>
      <c r="C871" s="562"/>
      <c r="D871" s="571"/>
      <c r="E871" s="563"/>
    </row>
    <row r="872" spans="1:5" x14ac:dyDescent="0.2">
      <c r="A872" s="562"/>
      <c r="B872" s="562"/>
      <c r="C872" s="562"/>
      <c r="D872" s="571"/>
      <c r="E872" s="563"/>
    </row>
    <row r="873" spans="1:5" x14ac:dyDescent="0.2">
      <c r="A873" s="562"/>
      <c r="B873" s="562"/>
      <c r="C873" s="562"/>
      <c r="D873" s="571"/>
      <c r="E873" s="563"/>
    </row>
    <row r="874" spans="1:5" x14ac:dyDescent="0.2">
      <c r="A874" s="564"/>
      <c r="B874" s="562"/>
      <c r="C874" s="562"/>
      <c r="D874" s="571"/>
      <c r="E874" s="563"/>
    </row>
    <row r="875" spans="1:5" x14ac:dyDescent="0.2">
      <c r="A875" s="562"/>
      <c r="B875" s="562"/>
      <c r="C875" s="562"/>
      <c r="D875" s="571"/>
      <c r="E875" s="563"/>
    </row>
    <row r="876" spans="1:5" x14ac:dyDescent="0.2">
      <c r="A876" s="562"/>
      <c r="B876" s="562"/>
      <c r="C876" s="562"/>
      <c r="D876" s="571"/>
      <c r="E876" s="563"/>
    </row>
    <row r="877" spans="1:5" x14ac:dyDescent="0.2">
      <c r="A877" s="565"/>
      <c r="B877" s="565"/>
      <c r="C877" s="565"/>
      <c r="D877" s="565"/>
      <c r="E877" s="567"/>
    </row>
    <row r="878" spans="1:5" x14ac:dyDescent="0.2">
      <c r="A878" s="562"/>
      <c r="B878" s="562"/>
      <c r="C878" s="562"/>
      <c r="D878" s="562"/>
      <c r="E878" s="563"/>
    </row>
    <row r="879" spans="1:5" x14ac:dyDescent="0.2">
      <c r="A879" s="562"/>
      <c r="B879" s="562"/>
      <c r="C879" s="562"/>
      <c r="D879" s="562"/>
      <c r="E879" s="563"/>
    </row>
    <row r="880" spans="1:5" x14ac:dyDescent="0.2">
      <c r="A880" s="562"/>
      <c r="B880" s="562"/>
      <c r="C880" s="562"/>
      <c r="D880" s="562"/>
      <c r="E880" s="563"/>
    </row>
    <row r="881" spans="1:5" x14ac:dyDescent="0.2">
      <c r="A881" s="564"/>
      <c r="B881" s="562"/>
      <c r="C881" s="562"/>
      <c r="D881" s="562"/>
      <c r="E881" s="563"/>
    </row>
    <row r="882" spans="1:5" x14ac:dyDescent="0.2">
      <c r="A882" s="562"/>
      <c r="B882" s="562"/>
      <c r="C882" s="562"/>
      <c r="D882" s="562"/>
      <c r="E882" s="563"/>
    </row>
    <row r="883" spans="1:5" x14ac:dyDescent="0.2">
      <c r="A883" s="562"/>
      <c r="B883" s="562"/>
      <c r="C883" s="562"/>
      <c r="D883" s="562"/>
      <c r="E883" s="563"/>
    </row>
    <row r="884" spans="1:5" x14ac:dyDescent="0.2">
      <c r="A884" s="562"/>
      <c r="B884" s="562"/>
      <c r="C884" s="562"/>
      <c r="D884" s="571"/>
      <c r="E884" s="563"/>
    </row>
    <row r="885" spans="1:5" x14ac:dyDescent="0.2">
      <c r="A885" s="562"/>
      <c r="B885" s="562"/>
      <c r="C885" s="562"/>
      <c r="D885" s="571"/>
      <c r="E885" s="563"/>
    </row>
    <row r="886" spans="1:5" x14ac:dyDescent="0.2">
      <c r="A886" s="562"/>
      <c r="B886" s="562"/>
      <c r="C886" s="562"/>
      <c r="D886" s="571"/>
      <c r="E886" s="563"/>
    </row>
    <row r="887" spans="1:5" x14ac:dyDescent="0.2">
      <c r="A887" s="564"/>
      <c r="B887" s="562"/>
      <c r="C887" s="562"/>
      <c r="D887" s="571"/>
      <c r="E887" s="563"/>
    </row>
    <row r="888" spans="1:5" x14ac:dyDescent="0.2">
      <c r="A888" s="562"/>
      <c r="B888" s="562"/>
      <c r="C888" s="562"/>
      <c r="D888" s="571"/>
      <c r="E888" s="563"/>
    </row>
    <row r="889" spans="1:5" x14ac:dyDescent="0.2">
      <c r="A889" s="562"/>
      <c r="B889" s="562"/>
      <c r="C889" s="562"/>
      <c r="D889" s="571"/>
      <c r="E889" s="563"/>
    </row>
    <row r="890" spans="1:5" x14ac:dyDescent="0.2">
      <c r="A890" s="565"/>
      <c r="B890" s="565"/>
      <c r="C890" s="565"/>
      <c r="D890" s="565"/>
      <c r="E890" s="567"/>
    </row>
    <row r="891" spans="1:5" x14ac:dyDescent="0.2">
      <c r="A891" s="562"/>
      <c r="B891" s="562"/>
      <c r="C891" s="562"/>
      <c r="D891" s="562"/>
      <c r="E891" s="563"/>
    </row>
    <row r="892" spans="1:5" x14ac:dyDescent="0.2">
      <c r="A892" s="562"/>
      <c r="B892" s="562"/>
      <c r="C892" s="562"/>
      <c r="D892" s="562"/>
      <c r="E892" s="563"/>
    </row>
    <row r="893" spans="1:5" x14ac:dyDescent="0.2">
      <c r="A893" s="562"/>
      <c r="B893" s="562"/>
      <c r="C893" s="562"/>
      <c r="D893" s="562"/>
      <c r="E893" s="563"/>
    </row>
    <row r="894" spans="1:5" x14ac:dyDescent="0.2">
      <c r="A894" s="564"/>
      <c r="B894" s="562"/>
      <c r="C894" s="562"/>
      <c r="D894" s="562"/>
      <c r="E894" s="563"/>
    </row>
    <row r="895" spans="1:5" x14ac:dyDescent="0.2">
      <c r="A895" s="562"/>
      <c r="B895" s="562"/>
      <c r="C895" s="562"/>
      <c r="D895" s="562"/>
      <c r="E895" s="563"/>
    </row>
    <row r="896" spans="1:5" x14ac:dyDescent="0.2">
      <c r="A896" s="562"/>
      <c r="B896" s="562"/>
      <c r="C896" s="562"/>
      <c r="D896" s="562"/>
      <c r="E896" s="563"/>
    </row>
    <row r="897" spans="1:5" x14ac:dyDescent="0.2">
      <c r="A897" s="562"/>
      <c r="B897" s="562"/>
      <c r="C897" s="562"/>
      <c r="D897" s="571"/>
      <c r="E897" s="563"/>
    </row>
    <row r="898" spans="1:5" x14ac:dyDescent="0.2">
      <c r="A898" s="562"/>
      <c r="B898" s="562"/>
      <c r="C898" s="562"/>
      <c r="D898" s="571"/>
      <c r="E898" s="563"/>
    </row>
    <row r="899" spans="1:5" x14ac:dyDescent="0.2">
      <c r="A899" s="562"/>
      <c r="B899" s="562"/>
      <c r="C899" s="562"/>
      <c r="D899" s="571"/>
      <c r="E899" s="563"/>
    </row>
    <row r="900" spans="1:5" x14ac:dyDescent="0.2">
      <c r="A900" s="564"/>
      <c r="B900" s="562"/>
      <c r="C900" s="562"/>
      <c r="D900" s="571"/>
      <c r="E900" s="563"/>
    </row>
    <row r="901" spans="1:5" x14ac:dyDescent="0.2">
      <c r="A901" s="562"/>
      <c r="B901" s="562"/>
      <c r="C901" s="562"/>
      <c r="D901" s="571"/>
      <c r="E901" s="563"/>
    </row>
    <row r="902" spans="1:5" x14ac:dyDescent="0.2">
      <c r="A902" s="562"/>
      <c r="B902" s="562"/>
      <c r="C902" s="562"/>
      <c r="D902" s="571"/>
      <c r="E902" s="563"/>
    </row>
    <row r="903" spans="1:5" x14ac:dyDescent="0.2">
      <c r="A903" s="565"/>
      <c r="B903" s="565"/>
      <c r="C903" s="565"/>
      <c r="D903" s="565"/>
      <c r="E903" s="567"/>
    </row>
    <row r="904" spans="1:5" x14ac:dyDescent="0.2">
      <c r="A904" s="573"/>
      <c r="B904" s="573"/>
      <c r="C904" s="573"/>
      <c r="D904" s="573"/>
      <c r="E904" s="574"/>
    </row>
    <row r="905" spans="1:5" x14ac:dyDescent="0.2">
      <c r="A905" s="562"/>
      <c r="B905" s="562"/>
      <c r="C905" s="562"/>
      <c r="D905" s="562"/>
      <c r="E905" s="563"/>
    </row>
    <row r="906" spans="1:5" x14ac:dyDescent="0.2">
      <c r="A906" s="562"/>
      <c r="B906" s="562"/>
      <c r="C906" s="562"/>
      <c r="D906" s="562"/>
      <c r="E906" s="563"/>
    </row>
    <row r="907" spans="1:5" x14ac:dyDescent="0.2">
      <c r="A907" s="562"/>
      <c r="B907" s="562"/>
      <c r="C907" s="562"/>
      <c r="D907" s="562"/>
      <c r="E907" s="563"/>
    </row>
    <row r="908" spans="1:5" x14ac:dyDescent="0.2">
      <c r="A908" s="562"/>
      <c r="B908" s="564"/>
      <c r="C908" s="562"/>
      <c r="D908" s="562"/>
      <c r="E908" s="563"/>
    </row>
    <row r="909" spans="1:5" x14ac:dyDescent="0.2">
      <c r="A909" s="562"/>
      <c r="B909" s="564"/>
      <c r="C909" s="562"/>
      <c r="D909" s="562"/>
      <c r="E909" s="563"/>
    </row>
    <row r="910" spans="1:5" x14ac:dyDescent="0.2">
      <c r="A910" s="562"/>
      <c r="B910" s="564"/>
      <c r="C910" s="562"/>
      <c r="D910" s="562"/>
      <c r="E910" s="563"/>
    </row>
    <row r="911" spans="1:5" x14ac:dyDescent="0.2">
      <c r="A911" s="562"/>
      <c r="B911" s="564"/>
      <c r="C911" s="562"/>
      <c r="D911" s="562"/>
      <c r="E911" s="563"/>
    </row>
    <row r="912" spans="1:5" x14ac:dyDescent="0.2">
      <c r="A912" s="562"/>
      <c r="B912" s="564"/>
      <c r="C912" s="562"/>
      <c r="D912" s="562"/>
      <c r="E912" s="563"/>
    </row>
    <row r="913" spans="1:5" x14ac:dyDescent="0.2">
      <c r="A913" s="562"/>
      <c r="B913" s="564"/>
      <c r="C913" s="562"/>
      <c r="D913" s="562"/>
      <c r="E913" s="563"/>
    </row>
    <row r="914" spans="1:5" x14ac:dyDescent="0.2">
      <c r="A914" s="562"/>
      <c r="B914" s="564"/>
      <c r="C914" s="562"/>
      <c r="D914" s="562"/>
      <c r="E914" s="563"/>
    </row>
    <row r="915" spans="1:5" x14ac:dyDescent="0.2">
      <c r="A915" s="562"/>
      <c r="B915" s="564"/>
      <c r="C915" s="562"/>
      <c r="D915" s="562"/>
      <c r="E915" s="563"/>
    </row>
    <row r="916" spans="1:5" x14ac:dyDescent="0.2">
      <c r="A916" s="562"/>
      <c r="B916" s="564"/>
      <c r="C916" s="562"/>
      <c r="D916" s="562"/>
      <c r="E916" s="563"/>
    </row>
    <row r="917" spans="1:5" x14ac:dyDescent="0.2">
      <c r="A917" s="565"/>
      <c r="B917" s="565"/>
      <c r="C917" s="565"/>
      <c r="D917" s="565"/>
      <c r="E917" s="567"/>
    </row>
    <row r="918" spans="1:5" x14ac:dyDescent="0.2">
      <c r="A918" s="562"/>
      <c r="B918" s="562"/>
      <c r="C918" s="562"/>
      <c r="D918" s="562"/>
      <c r="E918" s="563"/>
    </row>
    <row r="919" spans="1:5" x14ac:dyDescent="0.2">
      <c r="A919" s="562"/>
      <c r="B919" s="562"/>
      <c r="C919" s="562"/>
      <c r="D919" s="562"/>
      <c r="E919" s="563"/>
    </row>
    <row r="920" spans="1:5" x14ac:dyDescent="0.2">
      <c r="A920" s="562"/>
      <c r="B920" s="562"/>
      <c r="C920" s="562"/>
      <c r="D920" s="562"/>
      <c r="E920" s="563"/>
    </row>
    <row r="921" spans="1:5" x14ac:dyDescent="0.2">
      <c r="A921" s="562"/>
      <c r="B921" s="564"/>
      <c r="C921" s="562"/>
      <c r="D921" s="562"/>
      <c r="E921" s="563"/>
    </row>
    <row r="922" spans="1:5" x14ac:dyDescent="0.2">
      <c r="A922" s="562"/>
      <c r="B922" s="564"/>
      <c r="C922" s="562"/>
      <c r="D922" s="562"/>
      <c r="E922" s="563"/>
    </row>
    <row r="923" spans="1:5" x14ac:dyDescent="0.2">
      <c r="A923" s="562"/>
      <c r="B923" s="564"/>
      <c r="C923" s="562"/>
      <c r="D923" s="562"/>
      <c r="E923" s="563"/>
    </row>
    <row r="924" spans="1:5" x14ac:dyDescent="0.2">
      <c r="A924" s="562"/>
      <c r="B924" s="564"/>
      <c r="C924" s="562"/>
      <c r="D924" s="562"/>
      <c r="E924" s="563"/>
    </row>
    <row r="925" spans="1:5" x14ac:dyDescent="0.2">
      <c r="A925" s="562"/>
      <c r="B925" s="564"/>
      <c r="C925" s="562"/>
      <c r="D925" s="562"/>
      <c r="E925" s="563"/>
    </row>
    <row r="926" spans="1:5" x14ac:dyDescent="0.2">
      <c r="A926" s="562"/>
      <c r="B926" s="564"/>
      <c r="C926" s="562"/>
      <c r="D926" s="562"/>
      <c r="E926" s="563"/>
    </row>
    <row r="927" spans="1:5" x14ac:dyDescent="0.2">
      <c r="A927" s="562"/>
      <c r="B927" s="564"/>
      <c r="C927" s="562"/>
      <c r="D927" s="562"/>
      <c r="E927" s="563"/>
    </row>
    <row r="928" spans="1:5" x14ac:dyDescent="0.2">
      <c r="A928" s="562"/>
      <c r="B928" s="564"/>
      <c r="C928" s="562"/>
      <c r="D928" s="562"/>
      <c r="E928" s="563"/>
    </row>
    <row r="929" spans="1:5" x14ac:dyDescent="0.2">
      <c r="A929" s="562"/>
      <c r="B929" s="564"/>
      <c r="C929" s="562"/>
      <c r="D929" s="562"/>
      <c r="E929" s="563"/>
    </row>
    <row r="930" spans="1:5" x14ac:dyDescent="0.2">
      <c r="A930" s="565"/>
      <c r="B930" s="565"/>
      <c r="C930" s="565"/>
      <c r="D930" s="565"/>
      <c r="E930" s="567"/>
    </row>
    <row r="931" spans="1:5" x14ac:dyDescent="0.2">
      <c r="A931" s="562"/>
      <c r="B931" s="562"/>
      <c r="C931" s="562"/>
      <c r="D931" s="562"/>
      <c r="E931" s="563"/>
    </row>
    <row r="932" spans="1:5" x14ac:dyDescent="0.2">
      <c r="A932" s="562"/>
      <c r="B932" s="562"/>
      <c r="C932" s="562"/>
      <c r="D932" s="562"/>
      <c r="E932" s="563"/>
    </row>
    <row r="933" spans="1:5" x14ac:dyDescent="0.2">
      <c r="A933" s="562"/>
      <c r="B933" s="562"/>
      <c r="C933" s="562"/>
      <c r="D933" s="562"/>
      <c r="E933" s="563"/>
    </row>
    <row r="934" spans="1:5" x14ac:dyDescent="0.2">
      <c r="A934" s="562"/>
      <c r="B934" s="564"/>
      <c r="C934" s="562"/>
      <c r="D934" s="562"/>
      <c r="E934" s="563"/>
    </row>
    <row r="935" spans="1:5" x14ac:dyDescent="0.2">
      <c r="A935" s="562"/>
      <c r="B935" s="564"/>
      <c r="C935" s="562"/>
      <c r="D935" s="562"/>
      <c r="E935" s="563"/>
    </row>
    <row r="936" spans="1:5" x14ac:dyDescent="0.2">
      <c r="A936" s="562"/>
      <c r="B936" s="564"/>
      <c r="C936" s="562"/>
      <c r="D936" s="562"/>
      <c r="E936" s="563"/>
    </row>
    <row r="937" spans="1:5" x14ac:dyDescent="0.2">
      <c r="A937" s="562"/>
      <c r="B937" s="564"/>
      <c r="C937" s="562"/>
      <c r="D937" s="562"/>
      <c r="E937" s="563"/>
    </row>
    <row r="938" spans="1:5" x14ac:dyDescent="0.2">
      <c r="A938" s="562"/>
      <c r="B938" s="564"/>
      <c r="C938" s="562"/>
      <c r="D938" s="562"/>
      <c r="E938" s="563"/>
    </row>
    <row r="939" spans="1:5" x14ac:dyDescent="0.2">
      <c r="A939" s="562"/>
      <c r="B939" s="564"/>
      <c r="C939" s="562"/>
      <c r="D939" s="562"/>
      <c r="E939" s="563"/>
    </row>
    <row r="940" spans="1:5" x14ac:dyDescent="0.2">
      <c r="A940" s="562"/>
      <c r="B940" s="564"/>
      <c r="C940" s="562"/>
      <c r="D940" s="562"/>
      <c r="E940" s="563"/>
    </row>
    <row r="941" spans="1:5" x14ac:dyDescent="0.2">
      <c r="A941" s="562"/>
      <c r="B941" s="564"/>
      <c r="C941" s="562"/>
      <c r="D941" s="562"/>
      <c r="E941" s="563"/>
    </row>
    <row r="942" spans="1:5" x14ac:dyDescent="0.2">
      <c r="A942" s="562"/>
      <c r="B942" s="564"/>
      <c r="C942" s="562"/>
      <c r="D942" s="562"/>
      <c r="E942" s="563"/>
    </row>
    <row r="943" spans="1:5" x14ac:dyDescent="0.2">
      <c r="A943" s="565"/>
      <c r="B943" s="565"/>
      <c r="C943" s="565"/>
      <c r="D943" s="565"/>
      <c r="E943" s="567"/>
    </row>
    <row r="944" spans="1:5" x14ac:dyDescent="0.2">
      <c r="A944" s="573"/>
      <c r="B944" s="573"/>
      <c r="C944" s="573"/>
      <c r="D944" s="573"/>
      <c r="E944" s="574"/>
    </row>
    <row r="945" spans="1:5" x14ac:dyDescent="0.2">
      <c r="A945" s="562" t="s">
        <v>1005</v>
      </c>
      <c r="B945" s="562" t="s">
        <v>1005</v>
      </c>
      <c r="C945" s="562">
        <v>1000</v>
      </c>
      <c r="D945" s="571">
        <v>6810</v>
      </c>
      <c r="E945" s="563">
        <f>SUMIFS('Accounting data'!$G$2:$G$37000,'Accounting data'!$J$2:$J$37000,"1*",'Accounting data'!$K$2:$K$37000,"681*")</f>
        <v>100326</v>
      </c>
    </row>
    <row r="946" spans="1:5" x14ac:dyDescent="0.2">
      <c r="A946" s="562" t="s">
        <v>1006</v>
      </c>
      <c r="B946" s="562" t="s">
        <v>1005</v>
      </c>
      <c r="C946" s="562">
        <v>1000</v>
      </c>
      <c r="D946" s="571">
        <v>6810</v>
      </c>
      <c r="E946" s="563">
        <f>SUMIFS('Accounting data'!$G$2:$G$37000,'Accounting data'!$H$2:$H$37000,"9999*",'Accounting data'!$J$2:$J$37000,"1*",'Accounting data'!$K$2:$K$37000,"681*")</f>
        <v>0</v>
      </c>
    </row>
    <row r="947" spans="1:5" x14ac:dyDescent="0.2">
      <c r="A947" s="562" t="s">
        <v>1005</v>
      </c>
      <c r="B947" s="562" t="s">
        <v>1007</v>
      </c>
      <c r="C947" s="562">
        <v>1000</v>
      </c>
      <c r="D947" s="571">
        <v>6810</v>
      </c>
      <c r="E947" s="563">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4" t="s">
        <v>1006</v>
      </c>
      <c r="B948" s="562" t="s">
        <v>1007</v>
      </c>
      <c r="C948" s="562">
        <v>1000</v>
      </c>
      <c r="D948" s="571">
        <v>6810</v>
      </c>
      <c r="E948" s="563">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2"/>
      <c r="B949" s="562"/>
      <c r="C949" s="562"/>
      <c r="D949" s="571"/>
      <c r="E949" s="563"/>
    </row>
    <row r="950" spans="1:5" x14ac:dyDescent="0.2">
      <c r="A950" s="562"/>
      <c r="B950" s="562"/>
      <c r="C950" s="562"/>
      <c r="D950" s="571"/>
      <c r="E950" s="563"/>
    </row>
    <row r="951" spans="1:5" x14ac:dyDescent="0.2">
      <c r="A951" s="565" t="s">
        <v>1069</v>
      </c>
      <c r="B951" s="565"/>
      <c r="C951" s="565"/>
      <c r="D951" s="565"/>
      <c r="E951" s="567">
        <f>((E945-E946-E947)+(E948+E949+E950))</f>
        <v>100326</v>
      </c>
    </row>
    <row r="952" spans="1:5" x14ac:dyDescent="0.2">
      <c r="A952" s="562" t="s">
        <v>1005</v>
      </c>
      <c r="B952" s="562" t="s">
        <v>1005</v>
      </c>
      <c r="C952" s="562">
        <v>2100</v>
      </c>
      <c r="D952" s="571">
        <v>6810</v>
      </c>
      <c r="E952" s="563">
        <f>SUMIFS('Accounting data'!$G$2:$G$37000,'Accounting data'!$J$2:$J$37000,"21*",'Accounting data'!$K$2:$K$37000,"681*")</f>
        <v>9160</v>
      </c>
    </row>
    <row r="953" spans="1:5" x14ac:dyDescent="0.2">
      <c r="A953" s="562" t="s">
        <v>1006</v>
      </c>
      <c r="B953" s="562" t="s">
        <v>1005</v>
      </c>
      <c r="C953" s="562">
        <v>2100</v>
      </c>
      <c r="D953" s="571">
        <v>6810</v>
      </c>
      <c r="E953" s="563">
        <f>SUMIFS('Accounting data'!$G$2:$G$37000,'Accounting data'!$H$2:$H$37000,"9999*",'Accounting data'!$J$2:$J$37000,"21*",'Accounting data'!$K$2:$K$37000,"681*")</f>
        <v>0</v>
      </c>
    </row>
    <row r="954" spans="1:5" x14ac:dyDescent="0.2">
      <c r="A954" s="562" t="s">
        <v>1005</v>
      </c>
      <c r="B954" s="562" t="s">
        <v>1007</v>
      </c>
      <c r="C954" s="562">
        <v>2100</v>
      </c>
      <c r="D954" s="571">
        <v>6810</v>
      </c>
      <c r="E954" s="563">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4" t="s">
        <v>1006</v>
      </c>
      <c r="B955" s="562" t="s">
        <v>1007</v>
      </c>
      <c r="C955" s="562">
        <v>2100</v>
      </c>
      <c r="D955" s="571">
        <v>6810</v>
      </c>
      <c r="E955" s="563">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2"/>
      <c r="B956" s="562"/>
      <c r="C956" s="562"/>
      <c r="D956" s="571"/>
      <c r="E956" s="563"/>
    </row>
    <row r="957" spans="1:5" x14ac:dyDescent="0.2">
      <c r="A957" s="562"/>
      <c r="B957" s="562"/>
      <c r="C957" s="562"/>
      <c r="D957" s="571"/>
      <c r="E957" s="563"/>
    </row>
    <row r="958" spans="1:5" x14ac:dyDescent="0.2">
      <c r="A958" s="565" t="s">
        <v>1070</v>
      </c>
      <c r="B958" s="565"/>
      <c r="C958" s="565"/>
      <c r="D958" s="565"/>
      <c r="E958" s="567">
        <f>(E952-E953-E954)+(E955+E956+E957)</f>
        <v>9160</v>
      </c>
    </row>
    <row r="959" spans="1:5" x14ac:dyDescent="0.2">
      <c r="A959" s="562" t="s">
        <v>1005</v>
      </c>
      <c r="B959" s="562" t="s">
        <v>1005</v>
      </c>
      <c r="C959" s="562">
        <v>2200</v>
      </c>
      <c r="D959" s="571">
        <v>6810</v>
      </c>
      <c r="E959" s="563">
        <f>SUMIFS('Accounting data'!$G$2:$G$37000,'Accounting data'!$J$2:$J$37000,"22*",'Accounting data'!$K$2:$K$37000,"681*")</f>
        <v>2308</v>
      </c>
    </row>
    <row r="960" spans="1:5" x14ac:dyDescent="0.2">
      <c r="A960" s="562" t="s">
        <v>1006</v>
      </c>
      <c r="B960" s="562" t="s">
        <v>1005</v>
      </c>
      <c r="C960" s="562">
        <v>2200</v>
      </c>
      <c r="D960" s="571">
        <v>6810</v>
      </c>
      <c r="E960" s="563">
        <f>SUMIFS('Accounting data'!$G$2:$G$37000,'Accounting data'!$H$2:$H$37000,"9999*",'Accounting data'!$J$2:$J$37000,"22*",'Accounting data'!$K$2:$K$37000,"681*")</f>
        <v>0</v>
      </c>
    </row>
    <row r="961" spans="1:5" x14ac:dyDescent="0.2">
      <c r="A961" s="562" t="s">
        <v>1005</v>
      </c>
      <c r="B961" s="562" t="s">
        <v>1007</v>
      </c>
      <c r="C961" s="562">
        <v>2200</v>
      </c>
      <c r="D961" s="571">
        <v>6810</v>
      </c>
      <c r="E961" s="563">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4" t="s">
        <v>1006</v>
      </c>
      <c r="B962" s="562" t="s">
        <v>1007</v>
      </c>
      <c r="C962" s="562">
        <v>2200</v>
      </c>
      <c r="D962" s="571">
        <v>6810</v>
      </c>
      <c r="E962" s="563">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2"/>
      <c r="B963" s="562"/>
      <c r="C963" s="562"/>
      <c r="D963" s="571"/>
      <c r="E963" s="563"/>
    </row>
    <row r="964" spans="1:5" x14ac:dyDescent="0.2">
      <c r="A964" s="562"/>
      <c r="B964" s="562"/>
      <c r="C964" s="562"/>
      <c r="D964" s="571"/>
      <c r="E964" s="563"/>
    </row>
    <row r="965" spans="1:5" x14ac:dyDescent="0.2">
      <c r="A965" s="565" t="s">
        <v>1071</v>
      </c>
      <c r="B965" s="565"/>
      <c r="C965" s="565"/>
      <c r="D965" s="565"/>
      <c r="E965" s="567">
        <f>(E959-E960-E961)+(E962+E963+E964)</f>
        <v>2308</v>
      </c>
    </row>
    <row r="966" spans="1:5" x14ac:dyDescent="0.2">
      <c r="A966" s="562" t="s">
        <v>1005</v>
      </c>
      <c r="B966" s="562" t="s">
        <v>1005</v>
      </c>
      <c r="C966" s="562">
        <v>2300</v>
      </c>
      <c r="D966" s="571">
        <v>6810</v>
      </c>
      <c r="E966" s="563">
        <f>SUMIFS('Accounting data'!$G$2:$G$37000,'Accounting data'!$J$2:$J$37000,"23*",'Accounting data'!$K$2:$K$37000,"681*")</f>
        <v>2912</v>
      </c>
    </row>
    <row r="967" spans="1:5" x14ac:dyDescent="0.2">
      <c r="A967" s="562" t="s">
        <v>1006</v>
      </c>
      <c r="B967" s="562" t="s">
        <v>1005</v>
      </c>
      <c r="C967" s="562">
        <v>2300</v>
      </c>
      <c r="D967" s="571">
        <v>6810</v>
      </c>
      <c r="E967" s="563">
        <f>SUMIFS('Accounting data'!$G$2:$G$37000,'Accounting data'!$H$2:$H$37000,"9999*",'Accounting data'!$J$2:$J$37000,"23*",'Accounting data'!$K$2:$K$37000,"681*")</f>
        <v>0</v>
      </c>
    </row>
    <row r="968" spans="1:5" x14ac:dyDescent="0.2">
      <c r="A968" s="562" t="s">
        <v>1005</v>
      </c>
      <c r="B968" s="562" t="s">
        <v>1007</v>
      </c>
      <c r="C968" s="562">
        <v>2300</v>
      </c>
      <c r="D968" s="571">
        <v>6810</v>
      </c>
      <c r="E968" s="563">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4" t="s">
        <v>1006</v>
      </c>
      <c r="B969" s="562" t="s">
        <v>1007</v>
      </c>
      <c r="C969" s="562">
        <v>2300</v>
      </c>
      <c r="D969" s="571">
        <v>6810</v>
      </c>
      <c r="E969" s="563">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2"/>
      <c r="B970" s="562"/>
      <c r="C970" s="562"/>
      <c r="D970" s="571"/>
      <c r="E970" s="563"/>
    </row>
    <row r="971" spans="1:5" x14ac:dyDescent="0.2">
      <c r="A971" s="562"/>
      <c r="B971" s="562"/>
      <c r="C971" s="562"/>
      <c r="D971" s="571"/>
      <c r="E971" s="563"/>
    </row>
    <row r="972" spans="1:5" x14ac:dyDescent="0.2">
      <c r="A972" s="565" t="s">
        <v>1072</v>
      </c>
      <c r="B972" s="565"/>
      <c r="C972" s="565"/>
      <c r="D972" s="565"/>
      <c r="E972" s="567">
        <f>(E966-E967-E968)+(E969+E970+E971)</f>
        <v>2912</v>
      </c>
    </row>
    <row r="973" spans="1:5" x14ac:dyDescent="0.2">
      <c r="A973" s="562" t="s">
        <v>1005</v>
      </c>
      <c r="B973" s="562" t="s">
        <v>1005</v>
      </c>
      <c r="C973" s="562">
        <v>2400</v>
      </c>
      <c r="D973" s="571">
        <v>6810</v>
      </c>
      <c r="E973" s="563">
        <f>SUMIFS('Accounting data'!$G$2:$G$37000,'Accounting data'!$J$2:$J$37000,"24*",'Accounting data'!$K$2:$K$37000,"681*")</f>
        <v>20646</v>
      </c>
    </row>
    <row r="974" spans="1:5" x14ac:dyDescent="0.2">
      <c r="A974" s="562" t="s">
        <v>1006</v>
      </c>
      <c r="B974" s="562" t="s">
        <v>1005</v>
      </c>
      <c r="C974" s="562">
        <v>2400</v>
      </c>
      <c r="D974" s="571">
        <v>6810</v>
      </c>
      <c r="E974" s="563">
        <f>SUMIFS('Accounting data'!$G$2:$G$37000,'Accounting data'!$H$2:$H$37000,"9999*",'Accounting data'!$J$2:$J$37000,"24*",'Accounting data'!$K$2:$K$37000,"681*")</f>
        <v>0</v>
      </c>
    </row>
    <row r="975" spans="1:5" x14ac:dyDescent="0.2">
      <c r="A975" s="562" t="s">
        <v>1005</v>
      </c>
      <c r="B975" s="562" t="s">
        <v>1007</v>
      </c>
      <c r="C975" s="562">
        <v>2400</v>
      </c>
      <c r="D975" s="571">
        <v>6810</v>
      </c>
      <c r="E975" s="563">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4" t="s">
        <v>1006</v>
      </c>
      <c r="B976" s="562" t="s">
        <v>1007</v>
      </c>
      <c r="C976" s="562">
        <v>2400</v>
      </c>
      <c r="D976" s="571">
        <v>6810</v>
      </c>
      <c r="E976" s="563">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2"/>
      <c r="B977" s="562"/>
      <c r="C977" s="562"/>
      <c r="D977" s="571"/>
      <c r="E977" s="563"/>
    </row>
    <row r="978" spans="1:5" x14ac:dyDescent="0.2">
      <c r="A978" s="562"/>
      <c r="B978" s="562"/>
      <c r="C978" s="562"/>
      <c r="D978" s="571"/>
      <c r="E978" s="563"/>
    </row>
    <row r="979" spans="1:5" x14ac:dyDescent="0.2">
      <c r="A979" s="565" t="s">
        <v>1073</v>
      </c>
      <c r="B979" s="565"/>
      <c r="C979" s="565"/>
      <c r="D979" s="565"/>
      <c r="E979" s="567">
        <f>(E973-E974-E975)+(E976+E977+E978)</f>
        <v>20646</v>
      </c>
    </row>
    <row r="980" spans="1:5" x14ac:dyDescent="0.2">
      <c r="A980" s="562" t="s">
        <v>1005</v>
      </c>
      <c r="B980" s="562" t="s">
        <v>1005</v>
      </c>
      <c r="C980" s="562">
        <v>2500</v>
      </c>
      <c r="D980" s="571">
        <v>6810</v>
      </c>
      <c r="E980" s="563">
        <f>SUMIFS('Accounting data'!$G$2:$G$37000,'Accounting data'!$J$2:$J$37000,"25*",'Accounting data'!$K$2:$K$37000,"681*")</f>
        <v>1567491</v>
      </c>
    </row>
    <row r="981" spans="1:5" x14ac:dyDescent="0.2">
      <c r="A981" s="562" t="s">
        <v>1006</v>
      </c>
      <c r="B981" s="562" t="s">
        <v>1005</v>
      </c>
      <c r="C981" s="562">
        <v>2500</v>
      </c>
      <c r="D981" s="571">
        <v>6810</v>
      </c>
      <c r="E981" s="563">
        <f>SUMIFS('Accounting data'!$G$2:$G$37000,'Accounting data'!$H$2:$H$37000,"9999*",'Accounting data'!$J$2:$J$37000,"25*",'Accounting data'!$K$2:$K$37000,"681*")</f>
        <v>0</v>
      </c>
    </row>
    <row r="982" spans="1:5" x14ac:dyDescent="0.2">
      <c r="A982" s="562" t="s">
        <v>1005</v>
      </c>
      <c r="B982" s="562" t="s">
        <v>1007</v>
      </c>
      <c r="C982" s="562">
        <v>2500</v>
      </c>
      <c r="D982" s="571">
        <v>6810</v>
      </c>
      <c r="E982" s="563">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4" t="s">
        <v>1006</v>
      </c>
      <c r="B983" s="562" t="s">
        <v>1007</v>
      </c>
      <c r="C983" s="562">
        <v>2500</v>
      </c>
      <c r="D983" s="571">
        <v>6810</v>
      </c>
      <c r="E983" s="563">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2"/>
      <c r="B984" s="562"/>
      <c r="C984" s="562"/>
      <c r="D984" s="571"/>
      <c r="E984" s="563"/>
    </row>
    <row r="985" spans="1:5" x14ac:dyDescent="0.2">
      <c r="A985" s="562"/>
      <c r="B985" s="562"/>
      <c r="C985" s="562"/>
      <c r="D985" s="571"/>
      <c r="E985" s="563"/>
    </row>
    <row r="986" spans="1:5" x14ac:dyDescent="0.2">
      <c r="A986" s="565" t="s">
        <v>1074</v>
      </c>
      <c r="B986" s="565"/>
      <c r="C986" s="565"/>
      <c r="D986" s="565"/>
      <c r="E986" s="567">
        <f>(E980-E981-E982)+(E983+E984+E985)</f>
        <v>1567491</v>
      </c>
    </row>
    <row r="987" spans="1:5" x14ac:dyDescent="0.2">
      <c r="A987" s="562" t="s">
        <v>1005</v>
      </c>
      <c r="B987" s="562" t="s">
        <v>1005</v>
      </c>
      <c r="C987" s="562">
        <v>2900</v>
      </c>
      <c r="D987" s="571">
        <v>6810</v>
      </c>
      <c r="E987" s="563">
        <f>SUMIFS('Accounting data'!$G$2:$G$37000,'Accounting data'!$J$2:$J$37000,"29*",'Accounting data'!$K$2:$K$37000,"681*")</f>
        <v>0</v>
      </c>
    </row>
    <row r="988" spans="1:5" x14ac:dyDescent="0.2">
      <c r="A988" s="562" t="s">
        <v>1006</v>
      </c>
      <c r="B988" s="562" t="s">
        <v>1005</v>
      </c>
      <c r="C988" s="562">
        <v>2900</v>
      </c>
      <c r="D988" s="571">
        <v>6810</v>
      </c>
      <c r="E988" s="563">
        <f>SUMIFS('Accounting data'!$G$2:$G$37000,'Accounting data'!$H$2:$H$37000,"9999*",'Accounting data'!$J$2:$J$37000,"29*",'Accounting data'!$K$2:$K$37000,"681*")</f>
        <v>0</v>
      </c>
    </row>
    <row r="989" spans="1:5" x14ac:dyDescent="0.2">
      <c r="A989" s="562" t="s">
        <v>1005</v>
      </c>
      <c r="B989" s="562" t="s">
        <v>1007</v>
      </c>
      <c r="C989" s="562">
        <v>2900</v>
      </c>
      <c r="D989" s="571">
        <v>6810</v>
      </c>
      <c r="E989" s="563">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4" t="s">
        <v>1006</v>
      </c>
      <c r="B990" s="562" t="s">
        <v>1007</v>
      </c>
      <c r="C990" s="562">
        <v>2900</v>
      </c>
      <c r="D990" s="571">
        <v>6810</v>
      </c>
      <c r="E990" s="563">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2"/>
      <c r="B991" s="562"/>
      <c r="C991" s="562"/>
      <c r="D991" s="571"/>
      <c r="E991" s="563"/>
    </row>
    <row r="992" spans="1:5" x14ac:dyDescent="0.2">
      <c r="A992" s="562"/>
      <c r="B992" s="562"/>
      <c r="C992" s="562"/>
      <c r="D992" s="571"/>
      <c r="E992" s="563"/>
    </row>
    <row r="993" spans="1:5" x14ac:dyDescent="0.2">
      <c r="A993" s="565" t="s">
        <v>1075</v>
      </c>
      <c r="B993" s="565"/>
      <c r="C993" s="565"/>
      <c r="D993" s="565"/>
      <c r="E993" s="567">
        <f>(E987-E988-E989)+(E990+E991+E992)</f>
        <v>0</v>
      </c>
    </row>
    <row r="994" spans="1:5" x14ac:dyDescent="0.2">
      <c r="A994" s="562" t="s">
        <v>1005</v>
      </c>
      <c r="B994" s="562" t="s">
        <v>1005</v>
      </c>
      <c r="C994" s="562">
        <v>2600</v>
      </c>
      <c r="D994" s="571">
        <v>6810</v>
      </c>
      <c r="E994" s="563">
        <f>SUMIFS('Accounting data'!$G$2:$G$37000,'Accounting data'!$J$2:$J$37000,"26*",'Accounting data'!$K$2:$K$37000,"681*")</f>
        <v>0</v>
      </c>
    </row>
    <row r="995" spans="1:5" x14ac:dyDescent="0.2">
      <c r="A995" s="562" t="s">
        <v>1006</v>
      </c>
      <c r="B995" s="562" t="s">
        <v>1005</v>
      </c>
      <c r="C995" s="562">
        <v>2600</v>
      </c>
      <c r="D995" s="571">
        <v>6810</v>
      </c>
      <c r="E995" s="563">
        <f>SUMIFS('Accounting data'!$G$2:$G$37000,'Accounting data'!$H$2:$H$37000,"9999*",'Accounting data'!$J$2:$J$37000,"26*",'Accounting data'!$K$2:$K$37000,"681*")</f>
        <v>0</v>
      </c>
    </row>
    <row r="996" spans="1:5" x14ac:dyDescent="0.2">
      <c r="A996" s="562" t="s">
        <v>1005</v>
      </c>
      <c r="B996" s="562" t="s">
        <v>1007</v>
      </c>
      <c r="C996" s="562">
        <v>2600</v>
      </c>
      <c r="D996" s="571">
        <v>6810</v>
      </c>
      <c r="E996" s="563">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4" t="s">
        <v>1006</v>
      </c>
      <c r="B997" s="562" t="s">
        <v>1007</v>
      </c>
      <c r="C997" s="562">
        <v>2600</v>
      </c>
      <c r="D997" s="571">
        <v>6810</v>
      </c>
      <c r="E997" s="563">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2"/>
      <c r="B998" s="562"/>
      <c r="C998" s="562"/>
      <c r="D998" s="571"/>
      <c r="E998" s="563"/>
    </row>
    <row r="999" spans="1:5" x14ac:dyDescent="0.2">
      <c r="A999" s="562"/>
      <c r="B999" s="562"/>
      <c r="C999" s="562"/>
      <c r="D999" s="571"/>
      <c r="E999" s="563"/>
    </row>
    <row r="1000" spans="1:5" x14ac:dyDescent="0.2">
      <c r="A1000" s="565" t="s">
        <v>1076</v>
      </c>
      <c r="B1000" s="565"/>
      <c r="C1000" s="565"/>
      <c r="D1000" s="565"/>
      <c r="E1000" s="567">
        <f>(E994-E995-E996)+(E997+E998+E999)</f>
        <v>0</v>
      </c>
    </row>
    <row r="1001" spans="1:5" x14ac:dyDescent="0.2">
      <c r="A1001" s="562" t="s">
        <v>1005</v>
      </c>
      <c r="B1001" s="562" t="s">
        <v>1005</v>
      </c>
      <c r="C1001" s="562">
        <v>2700</v>
      </c>
      <c r="D1001" s="571">
        <v>6810</v>
      </c>
      <c r="E1001" s="563">
        <f>SUMIFS('Accounting data'!$G$2:$G$37000,'Accounting data'!$J$2:$J$37000,"27*",'Accounting data'!$K$2:$K$37000,"681*")</f>
        <v>0</v>
      </c>
    </row>
    <row r="1002" spans="1:5" x14ac:dyDescent="0.2">
      <c r="A1002" s="562" t="s">
        <v>1006</v>
      </c>
      <c r="B1002" s="562" t="s">
        <v>1005</v>
      </c>
      <c r="C1002" s="562">
        <v>2700</v>
      </c>
      <c r="D1002" s="571">
        <v>6810</v>
      </c>
      <c r="E1002" s="563">
        <f>SUMIFS('Accounting data'!$G$2:$G$37000,'Accounting data'!$H$2:$H$37000,"9999*",'Accounting data'!$J$2:$J$37000,"27*",'Accounting data'!$K$2:$K$37000,"681*")</f>
        <v>0</v>
      </c>
    </row>
    <row r="1003" spans="1:5" x14ac:dyDescent="0.2">
      <c r="A1003" s="562" t="s">
        <v>1005</v>
      </c>
      <c r="B1003" s="562" t="s">
        <v>1007</v>
      </c>
      <c r="C1003" s="562">
        <v>2700</v>
      </c>
      <c r="D1003" s="571">
        <v>6810</v>
      </c>
      <c r="E1003" s="563">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4" t="s">
        <v>1006</v>
      </c>
      <c r="B1004" s="562" t="s">
        <v>1007</v>
      </c>
      <c r="C1004" s="562">
        <v>2700</v>
      </c>
      <c r="D1004" s="571">
        <v>6810</v>
      </c>
      <c r="E1004" s="563">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2"/>
      <c r="B1005" s="562"/>
      <c r="C1005" s="562"/>
      <c r="D1005" s="571"/>
      <c r="E1005" s="563"/>
    </row>
    <row r="1006" spans="1:5" x14ac:dyDescent="0.2">
      <c r="A1006" s="562"/>
      <c r="B1006" s="562"/>
      <c r="C1006" s="562"/>
      <c r="D1006" s="571"/>
      <c r="E1006" s="563"/>
    </row>
    <row r="1007" spans="1:5" x14ac:dyDescent="0.2">
      <c r="A1007" s="565" t="s">
        <v>1077</v>
      </c>
      <c r="B1007" s="565"/>
      <c r="C1007" s="565"/>
      <c r="D1007" s="565"/>
      <c r="E1007" s="567">
        <f>(E1001-E1002-E1003)+(E1004+E1005+E1006)</f>
        <v>0</v>
      </c>
    </row>
    <row r="1008" spans="1:5" x14ac:dyDescent="0.2">
      <c r="A1008" s="562" t="s">
        <v>1005</v>
      </c>
      <c r="B1008" s="562" t="s">
        <v>1005</v>
      </c>
      <c r="C1008" s="562">
        <v>3100</v>
      </c>
      <c r="D1008" s="571">
        <v>6810</v>
      </c>
      <c r="E1008" s="563">
        <f>SUMIFS('Accounting data'!$G$2:$G$37000,'Accounting data'!$J$2:$J$37000,"31*",'Accounting data'!$K$2:$K$37000,"681*")</f>
        <v>0</v>
      </c>
    </row>
    <row r="1009" spans="1:5" x14ac:dyDescent="0.2">
      <c r="A1009" s="562" t="s">
        <v>1006</v>
      </c>
      <c r="B1009" s="562" t="s">
        <v>1005</v>
      </c>
      <c r="C1009" s="562">
        <v>3100</v>
      </c>
      <c r="D1009" s="571">
        <v>6810</v>
      </c>
      <c r="E1009" s="563">
        <f>SUMIFS('Accounting data'!$G$2:$G$37000,'Accounting data'!$H$2:$H$37000,"9999*",'Accounting data'!$J$2:$J$37000,"31*",'Accounting data'!$K$2:$K$37000,"681*")</f>
        <v>0</v>
      </c>
    </row>
    <row r="1010" spans="1:5" x14ac:dyDescent="0.2">
      <c r="A1010" s="562" t="s">
        <v>1005</v>
      </c>
      <c r="B1010" s="562" t="s">
        <v>1007</v>
      </c>
      <c r="C1010" s="562">
        <v>3100</v>
      </c>
      <c r="D1010" s="571">
        <v>6810</v>
      </c>
      <c r="E1010" s="563">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4" t="s">
        <v>1006</v>
      </c>
      <c r="B1011" s="562" t="s">
        <v>1007</v>
      </c>
      <c r="C1011" s="562">
        <v>3100</v>
      </c>
      <c r="D1011" s="571">
        <v>6810</v>
      </c>
      <c r="E1011" s="563">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2"/>
      <c r="B1012" s="562"/>
      <c r="C1012" s="562"/>
      <c r="D1012" s="571"/>
      <c r="E1012" s="563"/>
    </row>
    <row r="1013" spans="1:5" x14ac:dyDescent="0.2">
      <c r="A1013" s="562"/>
      <c r="B1013" s="562"/>
      <c r="C1013" s="562"/>
      <c r="D1013" s="571"/>
      <c r="E1013" s="563"/>
    </row>
    <row r="1014" spans="1:5" x14ac:dyDescent="0.2">
      <c r="A1014" s="565" t="s">
        <v>1078</v>
      </c>
      <c r="B1014" s="565"/>
      <c r="C1014" s="565"/>
      <c r="D1014" s="565"/>
      <c r="E1014" s="567">
        <f>(E1008-E1009-E1010)+(E1011+E1012+E1013)</f>
        <v>0</v>
      </c>
    </row>
    <row r="1015" spans="1:5" x14ac:dyDescent="0.2">
      <c r="A1015" s="562"/>
      <c r="B1015" s="562"/>
      <c r="C1015" s="562"/>
      <c r="D1015" s="571"/>
      <c r="E1015" s="563"/>
    </row>
    <row r="1016" spans="1:5" x14ac:dyDescent="0.2">
      <c r="A1016" s="562"/>
      <c r="B1016" s="562"/>
      <c r="C1016" s="562"/>
      <c r="D1016" s="571"/>
      <c r="E1016" s="563"/>
    </row>
    <row r="1017" spans="1:5" x14ac:dyDescent="0.2">
      <c r="A1017" s="562"/>
      <c r="B1017" s="562"/>
      <c r="C1017" s="562"/>
      <c r="D1017" s="571"/>
      <c r="E1017" s="563"/>
    </row>
    <row r="1018" spans="1:5" x14ac:dyDescent="0.2">
      <c r="A1018" s="564"/>
      <c r="B1018" s="562"/>
      <c r="C1018" s="562"/>
      <c r="D1018" s="571"/>
      <c r="E1018" s="563"/>
    </row>
    <row r="1019" spans="1:5" x14ac:dyDescent="0.2">
      <c r="A1019" s="562"/>
      <c r="B1019" s="562"/>
      <c r="C1019" s="562"/>
      <c r="D1019" s="571"/>
      <c r="E1019" s="563"/>
    </row>
    <row r="1020" spans="1:5" x14ac:dyDescent="0.2">
      <c r="A1020" s="562"/>
      <c r="B1020" s="562"/>
      <c r="C1020" s="562"/>
      <c r="D1020" s="571"/>
      <c r="E1020" s="563"/>
    </row>
    <row r="1021" spans="1:5" x14ac:dyDescent="0.2">
      <c r="A1021" s="565"/>
      <c r="B1021" s="565"/>
      <c r="C1021" s="565"/>
      <c r="D1021" s="565"/>
      <c r="E1021" s="567"/>
    </row>
    <row r="1022" spans="1:5" x14ac:dyDescent="0.2">
      <c r="A1022" s="562" t="s">
        <v>1005</v>
      </c>
      <c r="B1022" s="562" t="s">
        <v>1005</v>
      </c>
      <c r="C1022" s="562">
        <v>3400</v>
      </c>
      <c r="D1022" s="571">
        <v>6810</v>
      </c>
      <c r="E1022" s="563">
        <f>SUMIFS('Accounting data'!$G$2:$G$37000,'Accounting data'!$J$2:$J$37000,"34*",'Accounting data'!$K$2:$K$37000,"681*")</f>
        <v>0</v>
      </c>
    </row>
    <row r="1023" spans="1:5" x14ac:dyDescent="0.2">
      <c r="A1023" s="562" t="s">
        <v>1006</v>
      </c>
      <c r="B1023" s="562" t="s">
        <v>1005</v>
      </c>
      <c r="C1023" s="562">
        <v>3400</v>
      </c>
      <c r="D1023" s="571">
        <v>6810</v>
      </c>
      <c r="E1023" s="563">
        <f>SUMIFS('Accounting data'!$G$2:$G$37000,'Accounting data'!$H$2:$H$37000,"9999*",'Accounting data'!$J$2:$J$37000,"34*",'Accounting data'!$K$2:$K$37000,"681*")</f>
        <v>0</v>
      </c>
    </row>
    <row r="1024" spans="1:5" x14ac:dyDescent="0.2">
      <c r="A1024" s="562" t="s">
        <v>1005</v>
      </c>
      <c r="B1024" s="562" t="s">
        <v>1007</v>
      </c>
      <c r="C1024" s="562">
        <v>3400</v>
      </c>
      <c r="D1024" s="571">
        <v>6810</v>
      </c>
      <c r="E1024" s="563">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4" t="s">
        <v>1006</v>
      </c>
      <c r="B1025" s="562" t="s">
        <v>1007</v>
      </c>
      <c r="C1025" s="562">
        <v>3400</v>
      </c>
      <c r="D1025" s="571">
        <v>6810</v>
      </c>
      <c r="E1025" s="563">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2"/>
      <c r="B1026" s="562"/>
      <c r="C1026" s="562"/>
      <c r="D1026" s="571"/>
      <c r="E1026" s="563"/>
    </row>
    <row r="1027" spans="1:5" x14ac:dyDescent="0.2">
      <c r="A1027" s="562"/>
      <c r="B1027" s="562"/>
      <c r="C1027" s="562"/>
      <c r="D1027" s="571"/>
      <c r="E1027" s="563"/>
    </row>
    <row r="1028" spans="1:5" x14ac:dyDescent="0.2">
      <c r="A1028" s="565" t="s">
        <v>1079</v>
      </c>
      <c r="B1028" s="565"/>
      <c r="C1028" s="565"/>
      <c r="D1028" s="565"/>
      <c r="E1028" s="567">
        <f>(E1022-E1023-E1024)+(E1025+E1026+E1027)</f>
        <v>0</v>
      </c>
    </row>
    <row r="1029" spans="1:5" x14ac:dyDescent="0.2">
      <c r="A1029" s="562" t="s">
        <v>1005</v>
      </c>
      <c r="B1029" s="562" t="s">
        <v>1005</v>
      </c>
      <c r="C1029" s="562">
        <v>4000</v>
      </c>
      <c r="D1029" s="571">
        <v>6810</v>
      </c>
      <c r="E1029" s="563">
        <f>SUMIFS('Accounting data'!$G$2:$G$37000,'Accounting data'!$J$2:$J$37000,"4*",'Accounting data'!$K$2:$K$37000,"681*")</f>
        <v>0</v>
      </c>
    </row>
    <row r="1030" spans="1:5" x14ac:dyDescent="0.2">
      <c r="A1030" s="562" t="s">
        <v>1006</v>
      </c>
      <c r="B1030" s="562" t="s">
        <v>1005</v>
      </c>
      <c r="C1030" s="562">
        <v>4000</v>
      </c>
      <c r="D1030" s="571">
        <v>6810</v>
      </c>
      <c r="E1030" s="563">
        <f>SUMIFS('Accounting data'!$G$2:$G$37000,'Accounting data'!$H$2:$H$37000,"9999*",'Accounting data'!$J$2:$J$37000,"4*",'Accounting data'!$K$2:$K$37000,"681*")</f>
        <v>0</v>
      </c>
    </row>
    <row r="1031" spans="1:5" x14ac:dyDescent="0.2">
      <c r="A1031" s="562" t="s">
        <v>1005</v>
      </c>
      <c r="B1031" s="562" t="s">
        <v>1007</v>
      </c>
      <c r="C1031" s="562">
        <v>4000</v>
      </c>
      <c r="D1031" s="571">
        <v>6810</v>
      </c>
      <c r="E1031" s="563">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4" t="s">
        <v>1006</v>
      </c>
      <c r="B1032" s="562" t="s">
        <v>1007</v>
      </c>
      <c r="C1032" s="562">
        <v>4000</v>
      </c>
      <c r="D1032" s="571">
        <v>6810</v>
      </c>
      <c r="E1032" s="563">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2"/>
      <c r="B1033" s="562"/>
      <c r="C1033" s="562"/>
      <c r="D1033" s="571"/>
      <c r="E1033" s="563"/>
    </row>
    <row r="1034" spans="1:5" x14ac:dyDescent="0.2">
      <c r="A1034" s="562"/>
      <c r="B1034" s="562"/>
      <c r="C1034" s="562"/>
      <c r="D1034" s="571"/>
      <c r="E1034" s="563"/>
    </row>
    <row r="1035" spans="1:5" x14ac:dyDescent="0.2">
      <c r="A1035" s="565" t="s">
        <v>1080</v>
      </c>
      <c r="B1035" s="565"/>
      <c r="C1035" s="565"/>
      <c r="D1035" s="565"/>
      <c r="E1035" s="567">
        <f>(E1029-E1030-E1031)+(E1032+E1033+E1034)</f>
        <v>0</v>
      </c>
    </row>
    <row r="1036" spans="1:5" x14ac:dyDescent="0.2">
      <c r="A1036" s="568" t="s">
        <v>1081</v>
      </c>
      <c r="B1036" s="568"/>
      <c r="C1036" s="568"/>
      <c r="D1036" s="568"/>
      <c r="E1036" s="572">
        <f>E951+E958+E965+E972+E979+E986+E993+E1000+E1007+E1014+E1021+E1028</f>
        <v>1702843</v>
      </c>
    </row>
    <row r="1037" spans="1:5" x14ac:dyDescent="0.2">
      <c r="A1037" s="562" t="s">
        <v>1021</v>
      </c>
      <c r="B1037" s="562" t="s">
        <v>1005</v>
      </c>
      <c r="C1037" s="562">
        <v>1000</v>
      </c>
      <c r="D1037" s="562">
        <v>6810</v>
      </c>
      <c r="E1037" s="563">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-1</v>
      </c>
    </row>
    <row r="1038" spans="1:5" x14ac:dyDescent="0.2">
      <c r="A1038" s="562" t="s">
        <v>1021</v>
      </c>
      <c r="B1038" s="562" t="s">
        <v>1005</v>
      </c>
      <c r="C1038" s="562">
        <v>2000</v>
      </c>
      <c r="D1038" s="562">
        <v>6810</v>
      </c>
      <c r="E1038" s="563">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2" t="s">
        <v>1021</v>
      </c>
      <c r="B1039" s="562" t="s">
        <v>1005</v>
      </c>
      <c r="C1039" s="562">
        <v>3000</v>
      </c>
      <c r="D1039" s="562">
        <v>6810</v>
      </c>
      <c r="E1039" s="563">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2" t="s">
        <v>1021</v>
      </c>
      <c r="B1040" s="564">
        <v>700</v>
      </c>
      <c r="C1040" s="562">
        <v>1000</v>
      </c>
      <c r="D1040" s="562">
        <v>6810</v>
      </c>
      <c r="E1040" s="563">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2" t="s">
        <v>1021</v>
      </c>
      <c r="B1041" s="564">
        <v>800</v>
      </c>
      <c r="C1041" s="562">
        <v>1000</v>
      </c>
      <c r="D1041" s="562">
        <v>6810</v>
      </c>
      <c r="E1041" s="563">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2" t="s">
        <v>1021</v>
      </c>
      <c r="B1042" s="564">
        <v>900</v>
      </c>
      <c r="C1042" s="562">
        <v>1000</v>
      </c>
      <c r="D1042" s="562">
        <v>6810</v>
      </c>
      <c r="E1042" s="563">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2" t="s">
        <v>1021</v>
      </c>
      <c r="B1043" s="564">
        <v>700</v>
      </c>
      <c r="C1043" s="562">
        <v>2000</v>
      </c>
      <c r="D1043" s="562">
        <v>6810</v>
      </c>
      <c r="E1043" s="563">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2" t="s">
        <v>1021</v>
      </c>
      <c r="B1044" s="564">
        <v>800</v>
      </c>
      <c r="C1044" s="562">
        <v>2000</v>
      </c>
      <c r="D1044" s="562">
        <v>6810</v>
      </c>
      <c r="E1044" s="563">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2" t="s">
        <v>1021</v>
      </c>
      <c r="B1045" s="564">
        <v>900</v>
      </c>
      <c r="C1045" s="562">
        <v>2000</v>
      </c>
      <c r="D1045" s="562">
        <v>6810</v>
      </c>
      <c r="E1045" s="563">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2" t="s">
        <v>1021</v>
      </c>
      <c r="B1046" s="564">
        <v>700</v>
      </c>
      <c r="C1046" s="562">
        <v>3000</v>
      </c>
      <c r="D1046" s="562">
        <v>6810</v>
      </c>
      <c r="E1046" s="563">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2" t="s">
        <v>1021</v>
      </c>
      <c r="B1047" s="564">
        <v>800</v>
      </c>
      <c r="C1047" s="562">
        <v>3000</v>
      </c>
      <c r="D1047" s="562">
        <v>6810</v>
      </c>
      <c r="E1047" s="563">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2" t="s">
        <v>1021</v>
      </c>
      <c r="B1048" s="564">
        <v>900</v>
      </c>
      <c r="C1048" s="562">
        <v>3000</v>
      </c>
      <c r="D1048" s="562">
        <v>6810</v>
      </c>
      <c r="E1048" s="563">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5" t="s">
        <v>1082</v>
      </c>
      <c r="B1049" s="565"/>
      <c r="C1049" s="565"/>
      <c r="D1049" s="565"/>
      <c r="E1049" s="567">
        <f>(E1037+E1038+E1039)-(E1040+E1041+E1042+E1043+E1044+E1045+E1046+E1047+E1048)</f>
        <v>-1</v>
      </c>
    </row>
    <row r="1050" spans="1:5" x14ac:dyDescent="0.2">
      <c r="A1050" s="562" t="s">
        <v>1005</v>
      </c>
      <c r="B1050" s="562" t="s">
        <v>1005</v>
      </c>
      <c r="C1050" s="562">
        <v>2300</v>
      </c>
      <c r="D1050" s="571">
        <v>6820</v>
      </c>
      <c r="E1050" s="563">
        <f>SUMIFS('Accounting data'!$G$2:$G$37000,'Accounting data'!$J$2:$J$37000,"23*",'Accounting data'!$K$2:$K$37000,"682*")</f>
        <v>5756</v>
      </c>
    </row>
    <row r="1051" spans="1:5" x14ac:dyDescent="0.2">
      <c r="A1051" s="562" t="s">
        <v>1006</v>
      </c>
      <c r="B1051" s="562" t="s">
        <v>1005</v>
      </c>
      <c r="C1051" s="562">
        <v>2300</v>
      </c>
      <c r="D1051" s="571">
        <v>6820</v>
      </c>
      <c r="E1051" s="563">
        <f>SUMIFS('Accounting data'!$G$2:$G$37000,'Accounting data'!$H$2:$H$37000,"9999*",'Accounting data'!$J$2:$J$37000,"23*",'Accounting data'!$K$2:$K$37000,"682*")</f>
        <v>0</v>
      </c>
    </row>
    <row r="1052" spans="1:5" x14ac:dyDescent="0.2">
      <c r="A1052" s="562" t="s">
        <v>1005</v>
      </c>
      <c r="B1052" s="562" t="s">
        <v>1007</v>
      </c>
      <c r="C1052" s="562">
        <v>2300</v>
      </c>
      <c r="D1052" s="571">
        <v>6820</v>
      </c>
      <c r="E1052" s="563">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4" t="s">
        <v>1006</v>
      </c>
      <c r="B1053" s="562" t="s">
        <v>1007</v>
      </c>
      <c r="C1053" s="562">
        <v>2300</v>
      </c>
      <c r="D1053" s="571">
        <v>6820</v>
      </c>
      <c r="E1053" s="563">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2"/>
      <c r="B1054" s="562"/>
      <c r="C1054" s="562"/>
      <c r="D1054" s="571"/>
      <c r="E1054" s="563"/>
    </row>
    <row r="1055" spans="1:5" x14ac:dyDescent="0.2">
      <c r="A1055" s="562"/>
      <c r="B1055" s="562"/>
      <c r="C1055" s="562"/>
      <c r="D1055" s="571"/>
      <c r="E1055" s="563"/>
    </row>
    <row r="1056" spans="1:5" x14ac:dyDescent="0.2">
      <c r="A1056" s="565" t="s">
        <v>1083</v>
      </c>
      <c r="B1056" s="565"/>
      <c r="C1056" s="571"/>
      <c r="D1056" s="565"/>
      <c r="E1056" s="567">
        <f>(E1050-E1051-E1052)+(E1053+E1054+E1055)</f>
        <v>5756</v>
      </c>
    </row>
    <row r="1057" spans="1:5" x14ac:dyDescent="0.2">
      <c r="A1057" s="562" t="s">
        <v>1021</v>
      </c>
      <c r="B1057" s="562" t="s">
        <v>1005</v>
      </c>
      <c r="C1057" s="562">
        <v>2300</v>
      </c>
      <c r="D1057" s="562">
        <v>6820</v>
      </c>
      <c r="E1057" s="563">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2" t="s">
        <v>1021</v>
      </c>
      <c r="B1058" s="564">
        <v>700</v>
      </c>
      <c r="C1058" s="562">
        <v>2300</v>
      </c>
      <c r="D1058" s="562">
        <v>6820</v>
      </c>
      <c r="E1058" s="563">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2" t="s">
        <v>1021</v>
      </c>
      <c r="B1059" s="564">
        <v>800</v>
      </c>
      <c r="C1059" s="562">
        <v>2300</v>
      </c>
      <c r="D1059" s="562">
        <v>6820</v>
      </c>
      <c r="E1059" s="563">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2" t="s">
        <v>1021</v>
      </c>
      <c r="B1060" s="564">
        <v>900</v>
      </c>
      <c r="C1060" s="562">
        <v>2300</v>
      </c>
      <c r="D1060" s="562">
        <v>6820</v>
      </c>
      <c r="E1060" s="563">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5" t="s">
        <v>1084</v>
      </c>
      <c r="B1061" s="565"/>
      <c r="C1061" s="565"/>
      <c r="D1061" s="565"/>
      <c r="E1061" s="567">
        <f>E1057-E1058-E1059-E1060</f>
        <v>0</v>
      </c>
    </row>
    <row r="1062" spans="1:5" x14ac:dyDescent="0.2">
      <c r="A1062" s="562"/>
      <c r="B1062" s="562"/>
      <c r="C1062" s="562"/>
      <c r="D1062" s="562"/>
      <c r="E1062" s="563"/>
    </row>
    <row r="1063" spans="1:5" x14ac:dyDescent="0.2">
      <c r="A1063" s="562"/>
      <c r="B1063" s="562"/>
      <c r="C1063" s="562"/>
      <c r="D1063" s="562"/>
      <c r="E1063" s="563"/>
    </row>
    <row r="1064" spans="1:5" x14ac:dyDescent="0.2">
      <c r="A1064" s="562"/>
      <c r="B1064" s="562"/>
      <c r="C1064" s="562"/>
      <c r="D1064" s="562"/>
      <c r="E1064" s="563"/>
    </row>
    <row r="1065" spans="1:5" x14ac:dyDescent="0.2">
      <c r="A1065" s="564"/>
      <c r="B1065" s="562"/>
      <c r="C1065" s="562"/>
      <c r="D1065" s="562"/>
      <c r="E1065" s="563"/>
    </row>
    <row r="1066" spans="1:5" x14ac:dyDescent="0.2">
      <c r="A1066" s="562"/>
      <c r="B1066" s="562"/>
      <c r="C1066" s="562"/>
      <c r="D1066" s="562"/>
      <c r="E1066" s="563"/>
    </row>
    <row r="1067" spans="1:5" x14ac:dyDescent="0.2">
      <c r="A1067" s="562"/>
      <c r="B1067" s="562"/>
      <c r="C1067" s="562"/>
      <c r="D1067" s="562"/>
      <c r="E1067" s="563"/>
    </row>
    <row r="1068" spans="1:5" x14ac:dyDescent="0.2">
      <c r="A1068" s="565"/>
      <c r="B1068" s="565"/>
      <c r="C1068" s="565"/>
      <c r="D1068" s="565"/>
      <c r="E1068" s="567"/>
    </row>
    <row r="1069" spans="1:5" x14ac:dyDescent="0.2">
      <c r="A1069" s="562"/>
      <c r="B1069" s="562"/>
      <c r="C1069" s="562"/>
      <c r="D1069" s="562"/>
      <c r="E1069" s="563"/>
    </row>
    <row r="1070" spans="1:5" x14ac:dyDescent="0.2">
      <c r="A1070" s="562"/>
      <c r="B1070" s="562"/>
      <c r="C1070" s="562"/>
      <c r="D1070" s="562"/>
      <c r="E1070" s="563"/>
    </row>
    <row r="1071" spans="1:5" x14ac:dyDescent="0.2">
      <c r="A1071" s="562"/>
      <c r="B1071" s="562"/>
      <c r="C1071" s="562"/>
      <c r="D1071" s="562"/>
      <c r="E1071" s="563"/>
    </row>
    <row r="1072" spans="1:5" x14ac:dyDescent="0.2">
      <c r="A1072" s="564"/>
      <c r="B1072" s="562"/>
      <c r="C1072" s="562"/>
      <c r="D1072" s="562"/>
      <c r="E1072" s="563"/>
    </row>
    <row r="1073" spans="1:5" x14ac:dyDescent="0.2">
      <c r="A1073" s="562"/>
      <c r="B1073" s="562"/>
      <c r="C1073" s="562"/>
      <c r="D1073" s="562"/>
      <c r="E1073" s="563"/>
    </row>
    <row r="1074" spans="1:5" x14ac:dyDescent="0.2">
      <c r="A1074" s="562"/>
      <c r="B1074" s="562"/>
      <c r="C1074" s="562"/>
      <c r="D1074" s="562"/>
      <c r="E1074" s="563"/>
    </row>
    <row r="1075" spans="1:5" x14ac:dyDescent="0.2">
      <c r="A1075" s="565"/>
      <c r="B1075" s="565"/>
      <c r="C1075" s="565"/>
      <c r="D1075" s="565"/>
      <c r="E1075" s="567"/>
    </row>
    <row r="1076" spans="1:5" x14ac:dyDescent="0.2">
      <c r="A1076" s="562" t="s">
        <v>1005</v>
      </c>
      <c r="B1076" s="562" t="s">
        <v>1005</v>
      </c>
      <c r="C1076" s="562">
        <v>2500</v>
      </c>
      <c r="D1076" s="571">
        <v>6850</v>
      </c>
      <c r="E1076" s="563">
        <f>SUMIFS('Accounting data'!$G$2:$G$37000,'Accounting data'!$J$2:$J$37000,"25*",'Accounting data'!$K$2:$K$37000,"685*")</f>
        <v>0</v>
      </c>
    </row>
    <row r="1077" spans="1:5" x14ac:dyDescent="0.2">
      <c r="A1077" s="562" t="s">
        <v>1006</v>
      </c>
      <c r="B1077" s="562" t="s">
        <v>1005</v>
      </c>
      <c r="C1077" s="562">
        <v>2500</v>
      </c>
      <c r="D1077" s="571">
        <v>6850</v>
      </c>
      <c r="E1077" s="563">
        <f>SUMIFS('Accounting data'!$G$2:$G$37000,'Accounting data'!$H$2:$H$37000,"9999*",'Accounting data'!$J$2:$J$37000,"25*",'Accounting data'!$K$2:$K$37000,"685*")</f>
        <v>0</v>
      </c>
    </row>
    <row r="1078" spans="1:5" x14ac:dyDescent="0.2">
      <c r="A1078" s="562" t="s">
        <v>1005</v>
      </c>
      <c r="B1078" s="562" t="s">
        <v>1007</v>
      </c>
      <c r="C1078" s="562">
        <v>2500</v>
      </c>
      <c r="D1078" s="571">
        <v>6850</v>
      </c>
      <c r="E1078" s="563">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4" t="s">
        <v>1006</v>
      </c>
      <c r="B1079" s="562" t="s">
        <v>1007</v>
      </c>
      <c r="C1079" s="562">
        <v>2500</v>
      </c>
      <c r="D1079" s="571">
        <v>6850</v>
      </c>
      <c r="E1079" s="563">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2"/>
      <c r="B1080" s="562"/>
      <c r="C1080" s="562"/>
      <c r="D1080" s="571"/>
      <c r="E1080" s="563"/>
    </row>
    <row r="1081" spans="1:5" x14ac:dyDescent="0.2">
      <c r="A1081" s="562"/>
      <c r="B1081" s="562"/>
      <c r="C1081" s="562"/>
      <c r="D1081" s="571"/>
      <c r="E1081" s="563"/>
    </row>
    <row r="1082" spans="1:5" x14ac:dyDescent="0.2">
      <c r="A1082" s="565" t="s">
        <v>1085</v>
      </c>
      <c r="B1082" s="565"/>
      <c r="C1082" s="565"/>
      <c r="D1082" s="565"/>
      <c r="E1082" s="567">
        <f>(E1076-E1077-E1078)+(E1079+E1080+E1081)</f>
        <v>0</v>
      </c>
    </row>
    <row r="1083" spans="1:5" x14ac:dyDescent="0.2">
      <c r="A1083" s="562"/>
      <c r="B1083" s="562"/>
      <c r="C1083" s="562"/>
      <c r="D1083" s="571"/>
      <c r="E1083" s="563"/>
    </row>
    <row r="1084" spans="1:5" x14ac:dyDescent="0.2">
      <c r="A1084" s="562"/>
      <c r="B1084" s="562"/>
      <c r="C1084" s="562"/>
      <c r="D1084" s="571"/>
      <c r="E1084" s="563"/>
    </row>
    <row r="1085" spans="1:5" x14ac:dyDescent="0.2">
      <c r="A1085" s="562"/>
      <c r="B1085" s="562"/>
      <c r="C1085" s="562"/>
      <c r="D1085" s="571"/>
      <c r="E1085" s="563"/>
    </row>
    <row r="1086" spans="1:5" x14ac:dyDescent="0.2">
      <c r="A1086" s="564"/>
      <c r="B1086" s="562"/>
      <c r="C1086" s="562"/>
      <c r="D1086" s="571"/>
      <c r="E1086" s="563"/>
    </row>
    <row r="1087" spans="1:5" x14ac:dyDescent="0.2">
      <c r="A1087" s="562"/>
      <c r="B1087" s="562"/>
      <c r="C1087" s="562"/>
      <c r="D1087" s="571"/>
      <c r="E1087" s="563"/>
    </row>
    <row r="1088" spans="1:5" x14ac:dyDescent="0.2">
      <c r="A1088" s="562"/>
      <c r="B1088" s="562"/>
      <c r="C1088" s="562"/>
      <c r="D1088" s="571"/>
      <c r="E1088" s="563"/>
    </row>
    <row r="1089" spans="1:5" x14ac:dyDescent="0.2">
      <c r="A1089" s="565"/>
      <c r="B1089" s="565"/>
      <c r="C1089" s="565"/>
      <c r="D1089" s="565"/>
      <c r="E1089" s="567"/>
    </row>
    <row r="1090" spans="1:5" x14ac:dyDescent="0.2">
      <c r="A1090" s="562"/>
      <c r="B1090" s="562"/>
      <c r="C1090" s="562"/>
      <c r="D1090" s="571"/>
      <c r="E1090" s="563"/>
    </row>
    <row r="1091" spans="1:5" x14ac:dyDescent="0.2">
      <c r="A1091" s="562"/>
      <c r="B1091" s="562"/>
      <c r="C1091" s="562"/>
      <c r="D1091" s="571"/>
      <c r="E1091" s="563"/>
    </row>
    <row r="1092" spans="1:5" x14ac:dyDescent="0.2">
      <c r="A1092" s="562"/>
      <c r="B1092" s="562"/>
      <c r="C1092" s="562"/>
      <c r="D1092" s="571"/>
      <c r="E1092" s="563"/>
    </row>
    <row r="1093" spans="1:5" x14ac:dyDescent="0.2">
      <c r="A1093" s="564"/>
      <c r="B1093" s="562"/>
      <c r="C1093" s="562"/>
      <c r="D1093" s="571"/>
      <c r="E1093" s="563"/>
    </row>
    <row r="1094" spans="1:5" x14ac:dyDescent="0.2">
      <c r="A1094" s="562"/>
      <c r="B1094" s="562"/>
      <c r="C1094" s="562"/>
      <c r="D1094" s="571"/>
      <c r="E1094" s="563"/>
    </row>
    <row r="1095" spans="1:5" x14ac:dyDescent="0.2">
      <c r="A1095" s="562"/>
      <c r="B1095" s="562"/>
      <c r="C1095" s="562"/>
      <c r="D1095" s="571"/>
      <c r="E1095" s="563"/>
    </row>
    <row r="1096" spans="1:5" x14ac:dyDescent="0.2">
      <c r="A1096" s="565"/>
      <c r="B1096" s="565"/>
      <c r="C1096" s="565"/>
      <c r="D1096" s="565"/>
      <c r="E1096" s="567"/>
    </row>
    <row r="1097" spans="1:5" x14ac:dyDescent="0.2">
      <c r="A1097" s="562"/>
      <c r="B1097" s="562"/>
      <c r="C1097" s="562"/>
      <c r="D1097" s="571"/>
      <c r="E1097" s="563"/>
    </row>
    <row r="1098" spans="1:5" x14ac:dyDescent="0.2">
      <c r="A1098" s="562"/>
      <c r="B1098" s="562"/>
      <c r="C1098" s="562"/>
      <c r="D1098" s="571"/>
      <c r="E1098" s="563"/>
    </row>
    <row r="1099" spans="1:5" x14ac:dyDescent="0.2">
      <c r="A1099" s="562"/>
      <c r="B1099" s="562"/>
      <c r="C1099" s="562"/>
      <c r="D1099" s="571"/>
      <c r="E1099" s="563"/>
    </row>
    <row r="1100" spans="1:5" x14ac:dyDescent="0.2">
      <c r="A1100" s="564"/>
      <c r="B1100" s="562"/>
      <c r="C1100" s="562"/>
      <c r="D1100" s="571"/>
      <c r="E1100" s="563"/>
    </row>
    <row r="1101" spans="1:5" x14ac:dyDescent="0.2">
      <c r="A1101" s="562"/>
      <c r="B1101" s="562"/>
      <c r="C1101" s="562"/>
      <c r="D1101" s="571"/>
      <c r="E1101" s="563"/>
    </row>
    <row r="1102" spans="1:5" x14ac:dyDescent="0.2">
      <c r="A1102" s="562"/>
      <c r="B1102" s="562"/>
      <c r="C1102" s="562"/>
      <c r="D1102" s="571"/>
      <c r="E1102" s="563"/>
    </row>
    <row r="1103" spans="1:5" x14ac:dyDescent="0.2">
      <c r="A1103" s="565"/>
      <c r="B1103" s="565"/>
      <c r="C1103" s="565"/>
      <c r="D1103" s="565"/>
      <c r="E1103" s="567"/>
    </row>
    <row r="1104" spans="1:5" x14ac:dyDescent="0.2">
      <c r="A1104" s="565"/>
      <c r="B1104" s="565"/>
      <c r="C1104" s="565"/>
      <c r="D1104" s="565"/>
      <c r="E1104" s="567"/>
    </row>
    <row r="1105" spans="1:5" x14ac:dyDescent="0.2">
      <c r="A1105" s="562" t="s">
        <v>1021</v>
      </c>
      <c r="B1105" s="562" t="s">
        <v>1005</v>
      </c>
      <c r="C1105" s="571">
        <v>2500</v>
      </c>
      <c r="D1105" s="562">
        <v>6850</v>
      </c>
      <c r="E1105" s="563">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2" t="s">
        <v>1021</v>
      </c>
      <c r="B1106" s="564">
        <v>700</v>
      </c>
      <c r="C1106" s="562">
        <v>2500</v>
      </c>
      <c r="D1106" s="562">
        <v>6850</v>
      </c>
      <c r="E1106" s="563">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2" t="s">
        <v>1021</v>
      </c>
      <c r="B1107" s="564">
        <v>800</v>
      </c>
      <c r="C1107" s="562">
        <v>2500</v>
      </c>
      <c r="D1107" s="562">
        <v>6850</v>
      </c>
      <c r="E1107" s="563">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2" t="s">
        <v>1021</v>
      </c>
      <c r="B1108" s="564">
        <v>900</v>
      </c>
      <c r="C1108" s="562">
        <v>2500</v>
      </c>
      <c r="D1108" s="562">
        <v>6850</v>
      </c>
      <c r="E1108" s="563">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5" t="s">
        <v>1086</v>
      </c>
      <c r="B1109" s="565"/>
      <c r="C1109" s="565"/>
      <c r="D1109" s="565"/>
      <c r="E1109" s="567">
        <f>E1105-(E1106+E1107+E1108)</f>
        <v>0</v>
      </c>
    </row>
    <row r="1110" spans="1:5" x14ac:dyDescent="0.2">
      <c r="A1110" s="562" t="s">
        <v>1005</v>
      </c>
      <c r="B1110" s="562" t="s">
        <v>1005</v>
      </c>
      <c r="C1110" s="562">
        <v>1000</v>
      </c>
      <c r="D1110" s="571">
        <v>6890</v>
      </c>
      <c r="E1110" s="563">
        <f>SUMIFS('Accounting data'!$G$2:$G$37000,'Accounting data'!$J$2:$J$37000,"1*",'Accounting data'!$K$2:$K$37000,"689*")</f>
        <v>5464</v>
      </c>
    </row>
    <row r="1111" spans="1:5" x14ac:dyDescent="0.2">
      <c r="A1111" s="562" t="s">
        <v>1006</v>
      </c>
      <c r="B1111" s="562" t="s">
        <v>1005</v>
      </c>
      <c r="C1111" s="562">
        <v>1000</v>
      </c>
      <c r="D1111" s="571">
        <v>6890</v>
      </c>
      <c r="E1111" s="563">
        <f>SUMIFS('Accounting data'!$G$2:$G$37000,'Accounting data'!$H$2:$H$37000,"9999*",'Accounting data'!$J$2:$J$37000,"1*",'Accounting data'!$K$2:$K$37000,"689*")</f>
        <v>0</v>
      </c>
    </row>
    <row r="1112" spans="1:5" x14ac:dyDescent="0.2">
      <c r="A1112" s="562" t="s">
        <v>1005</v>
      </c>
      <c r="B1112" s="562" t="s">
        <v>1007</v>
      </c>
      <c r="C1112" s="562">
        <v>1000</v>
      </c>
      <c r="D1112" s="571">
        <v>6890</v>
      </c>
      <c r="E1112" s="563">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4" t="s">
        <v>1006</v>
      </c>
      <c r="B1113" s="562" t="s">
        <v>1007</v>
      </c>
      <c r="C1113" s="562">
        <v>1000</v>
      </c>
      <c r="D1113" s="571">
        <v>6890</v>
      </c>
      <c r="E1113" s="563">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2"/>
      <c r="B1114" s="562"/>
      <c r="C1114" s="562"/>
      <c r="D1114" s="571"/>
      <c r="E1114" s="563"/>
    </row>
    <row r="1115" spans="1:5" x14ac:dyDescent="0.2">
      <c r="A1115" s="562"/>
      <c r="B1115" s="562"/>
      <c r="C1115" s="562"/>
      <c r="D1115" s="571"/>
      <c r="E1115" s="563"/>
    </row>
    <row r="1116" spans="1:5" x14ac:dyDescent="0.2">
      <c r="A1116" s="565" t="s">
        <v>1087</v>
      </c>
      <c r="B1116" s="565"/>
      <c r="C1116" s="565"/>
      <c r="D1116" s="565"/>
      <c r="E1116" s="567">
        <f>(E1110-E1111-E1112)+(E1113+E1114+E1115)</f>
        <v>5464</v>
      </c>
    </row>
    <row r="1117" spans="1:5" x14ac:dyDescent="0.2">
      <c r="A1117" s="562" t="s">
        <v>1005</v>
      </c>
      <c r="B1117" s="562" t="s">
        <v>1005</v>
      </c>
      <c r="C1117" s="562">
        <v>2100</v>
      </c>
      <c r="D1117" s="571">
        <v>6890</v>
      </c>
      <c r="E1117" s="563">
        <f>SUMIFS('Accounting data'!$G$2:$G$37000,'Accounting data'!$J$2:$J$37000,"21*",'Accounting data'!$K$2:$K$37000,"689*")</f>
        <v>0</v>
      </c>
    </row>
    <row r="1118" spans="1:5" x14ac:dyDescent="0.2">
      <c r="A1118" s="562" t="s">
        <v>1006</v>
      </c>
      <c r="B1118" s="562" t="s">
        <v>1005</v>
      </c>
      <c r="C1118" s="562">
        <v>2100</v>
      </c>
      <c r="D1118" s="571">
        <v>6890</v>
      </c>
      <c r="E1118" s="563">
        <f>SUMIFS('Accounting data'!$G$2:$G$37000,'Accounting data'!$H$2:$H$37000,"9999*",'Accounting data'!$J$2:$J$37000,"21*",'Accounting data'!$K$2:$K$37000,"689*")</f>
        <v>0</v>
      </c>
    </row>
    <row r="1119" spans="1:5" x14ac:dyDescent="0.2">
      <c r="A1119" s="562" t="s">
        <v>1005</v>
      </c>
      <c r="B1119" s="562" t="s">
        <v>1007</v>
      </c>
      <c r="C1119" s="562">
        <v>2100</v>
      </c>
      <c r="D1119" s="571">
        <v>6890</v>
      </c>
      <c r="E1119" s="563">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4" t="s">
        <v>1006</v>
      </c>
      <c r="B1120" s="562" t="s">
        <v>1007</v>
      </c>
      <c r="C1120" s="562">
        <v>2100</v>
      </c>
      <c r="D1120" s="571">
        <v>6890</v>
      </c>
      <c r="E1120" s="563">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2"/>
      <c r="B1121" s="562"/>
      <c r="C1121" s="562"/>
      <c r="D1121" s="571"/>
      <c r="E1121" s="563"/>
    </row>
    <row r="1122" spans="1:5" x14ac:dyDescent="0.2">
      <c r="A1122" s="562"/>
      <c r="B1122" s="562"/>
      <c r="C1122" s="562"/>
      <c r="D1122" s="571"/>
      <c r="E1122" s="563"/>
    </row>
    <row r="1123" spans="1:5" x14ac:dyDescent="0.2">
      <c r="A1123" s="565" t="s">
        <v>1088</v>
      </c>
      <c r="B1123" s="565"/>
      <c r="C1123" s="565"/>
      <c r="D1123" s="565"/>
      <c r="E1123" s="567">
        <f>(E1117-E1118-E1119)+(E1120+E1121+E1122)</f>
        <v>0</v>
      </c>
    </row>
    <row r="1124" spans="1:5" x14ac:dyDescent="0.2">
      <c r="A1124" s="562" t="s">
        <v>1005</v>
      </c>
      <c r="B1124" s="562" t="s">
        <v>1005</v>
      </c>
      <c r="C1124" s="562">
        <v>2200</v>
      </c>
      <c r="D1124" s="571">
        <v>6890</v>
      </c>
      <c r="E1124" s="563">
        <f>SUMIFS('Accounting data'!$G$2:$G$37000,'Accounting data'!$J$2:$J$37000,"22*",'Accounting data'!$K$2:$K$37000,"689*")</f>
        <v>0</v>
      </c>
    </row>
    <row r="1125" spans="1:5" x14ac:dyDescent="0.2">
      <c r="A1125" s="562" t="s">
        <v>1006</v>
      </c>
      <c r="B1125" s="562" t="s">
        <v>1005</v>
      </c>
      <c r="C1125" s="562">
        <v>2200</v>
      </c>
      <c r="D1125" s="571">
        <v>6890</v>
      </c>
      <c r="E1125" s="563">
        <f>SUMIFS('Accounting data'!$G$2:$G$37000,'Accounting data'!$H$2:$H$37000,"9999*",'Accounting data'!$J$2:$J$37000,"22*",'Accounting data'!$K$2:$K$37000,"689*")</f>
        <v>0</v>
      </c>
    </row>
    <row r="1126" spans="1:5" x14ac:dyDescent="0.2">
      <c r="A1126" s="562" t="s">
        <v>1005</v>
      </c>
      <c r="B1126" s="562" t="s">
        <v>1007</v>
      </c>
      <c r="C1126" s="562">
        <v>2200</v>
      </c>
      <c r="D1126" s="571">
        <v>6890</v>
      </c>
      <c r="E1126" s="563">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4" t="s">
        <v>1006</v>
      </c>
      <c r="B1127" s="562" t="s">
        <v>1007</v>
      </c>
      <c r="C1127" s="562">
        <v>2200</v>
      </c>
      <c r="D1127" s="571">
        <v>6890</v>
      </c>
      <c r="E1127" s="563">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2"/>
      <c r="B1128" s="562"/>
      <c r="C1128" s="562"/>
      <c r="D1128" s="571"/>
      <c r="E1128" s="563"/>
    </row>
    <row r="1129" spans="1:5" x14ac:dyDescent="0.2">
      <c r="A1129" s="562"/>
      <c r="B1129" s="562"/>
      <c r="C1129" s="562"/>
      <c r="D1129" s="571"/>
      <c r="E1129" s="563"/>
    </row>
    <row r="1130" spans="1:5" x14ac:dyDescent="0.2">
      <c r="A1130" s="565" t="s">
        <v>1089</v>
      </c>
      <c r="B1130" s="565"/>
      <c r="C1130" s="565"/>
      <c r="D1130" s="565"/>
      <c r="E1130" s="567">
        <f>(E1124-E1125-E1126)+(E1127+E1128+E1129)</f>
        <v>0</v>
      </c>
    </row>
    <row r="1131" spans="1:5" x14ac:dyDescent="0.2">
      <c r="A1131" s="562" t="s">
        <v>1005</v>
      </c>
      <c r="B1131" s="562" t="s">
        <v>1005</v>
      </c>
      <c r="C1131" s="562">
        <v>2300</v>
      </c>
      <c r="D1131" s="571">
        <v>6890</v>
      </c>
      <c r="E1131" s="563">
        <f>SUMIFS('Accounting data'!$G$2:$G$37000,'Accounting data'!$J$2:$J$37000,"23*",'Accounting data'!$K$2:$K$37000,"689*")</f>
        <v>0</v>
      </c>
    </row>
    <row r="1132" spans="1:5" x14ac:dyDescent="0.2">
      <c r="A1132" s="562" t="s">
        <v>1006</v>
      </c>
      <c r="B1132" s="562" t="s">
        <v>1005</v>
      </c>
      <c r="C1132" s="562">
        <v>2300</v>
      </c>
      <c r="D1132" s="571">
        <v>6890</v>
      </c>
      <c r="E1132" s="563">
        <f>SUMIFS('Accounting data'!$G$2:$G$37000,'Accounting data'!$H$2:$H$37000,"9999*",'Accounting data'!$J$2:$J$37000,"23*",'Accounting data'!$K$2:$K$37000,"689*")</f>
        <v>0</v>
      </c>
    </row>
    <row r="1133" spans="1:5" x14ac:dyDescent="0.2">
      <c r="A1133" s="562" t="s">
        <v>1005</v>
      </c>
      <c r="B1133" s="562" t="s">
        <v>1007</v>
      </c>
      <c r="C1133" s="562">
        <v>2300</v>
      </c>
      <c r="D1133" s="571">
        <v>6890</v>
      </c>
      <c r="E1133" s="563">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4" t="s">
        <v>1006</v>
      </c>
      <c r="B1134" s="562" t="s">
        <v>1007</v>
      </c>
      <c r="C1134" s="562">
        <v>2300</v>
      </c>
      <c r="D1134" s="571">
        <v>6890</v>
      </c>
      <c r="E1134" s="563">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2"/>
      <c r="B1135" s="562"/>
      <c r="C1135" s="562"/>
      <c r="D1135" s="571"/>
      <c r="E1135" s="563"/>
    </row>
    <row r="1136" spans="1:5" x14ac:dyDescent="0.2">
      <c r="A1136" s="562"/>
      <c r="B1136" s="562"/>
      <c r="C1136" s="562"/>
      <c r="D1136" s="571"/>
      <c r="E1136" s="563"/>
    </row>
    <row r="1137" spans="1:5" x14ac:dyDescent="0.2">
      <c r="A1137" s="565" t="s">
        <v>1090</v>
      </c>
      <c r="B1137" s="565"/>
      <c r="C1137" s="565"/>
      <c r="D1137" s="565"/>
      <c r="E1137" s="567">
        <f>(E1131-E1132-E1133)+(E1134+E1135+E1136)</f>
        <v>0</v>
      </c>
    </row>
    <row r="1138" spans="1:5" x14ac:dyDescent="0.2">
      <c r="A1138" s="562" t="s">
        <v>1005</v>
      </c>
      <c r="B1138" s="562" t="s">
        <v>1005</v>
      </c>
      <c r="C1138" s="562">
        <v>2400</v>
      </c>
      <c r="D1138" s="571">
        <v>6890</v>
      </c>
      <c r="E1138" s="563">
        <f>SUMIFS('Accounting data'!$G$2:$G$37000,'Accounting data'!$J$2:$J$37000,"24*",'Accounting data'!$K$2:$K$37000,"689*")</f>
        <v>0</v>
      </c>
    </row>
    <row r="1139" spans="1:5" x14ac:dyDescent="0.2">
      <c r="A1139" s="562" t="s">
        <v>1006</v>
      </c>
      <c r="B1139" s="562" t="s">
        <v>1005</v>
      </c>
      <c r="C1139" s="562">
        <v>2400</v>
      </c>
      <c r="D1139" s="571">
        <v>6890</v>
      </c>
      <c r="E1139" s="563">
        <f>SUMIFS('Accounting data'!$G$2:$G$37000,'Accounting data'!$H$2:$H$37000,"9999*",'Accounting data'!$J$2:$J$37000,"24*",'Accounting data'!$K$2:$K$37000,"689*")</f>
        <v>0</v>
      </c>
    </row>
    <row r="1140" spans="1:5" x14ac:dyDescent="0.2">
      <c r="A1140" s="562" t="s">
        <v>1005</v>
      </c>
      <c r="B1140" s="562" t="s">
        <v>1007</v>
      </c>
      <c r="C1140" s="562">
        <v>2400</v>
      </c>
      <c r="D1140" s="571">
        <v>6890</v>
      </c>
      <c r="E1140" s="563">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4" t="s">
        <v>1006</v>
      </c>
      <c r="B1141" s="562" t="s">
        <v>1007</v>
      </c>
      <c r="C1141" s="562">
        <v>2400</v>
      </c>
      <c r="D1141" s="571">
        <v>6890</v>
      </c>
      <c r="E1141" s="563">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2"/>
      <c r="B1142" s="562"/>
      <c r="C1142" s="562"/>
      <c r="D1142" s="571"/>
      <c r="E1142" s="563"/>
    </row>
    <row r="1143" spans="1:5" x14ac:dyDescent="0.2">
      <c r="A1143" s="562"/>
      <c r="B1143" s="562"/>
      <c r="C1143" s="562"/>
      <c r="D1143" s="571"/>
      <c r="E1143" s="563"/>
    </row>
    <row r="1144" spans="1:5" x14ac:dyDescent="0.2">
      <c r="A1144" s="565" t="s">
        <v>1091</v>
      </c>
      <c r="B1144" s="565"/>
      <c r="C1144" s="565"/>
      <c r="D1144" s="565"/>
      <c r="E1144" s="567">
        <f>(E1138-E1139-E1140)+(E1141+E1142+E1143)</f>
        <v>0</v>
      </c>
    </row>
    <row r="1145" spans="1:5" x14ac:dyDescent="0.2">
      <c r="A1145" s="562" t="s">
        <v>1005</v>
      </c>
      <c r="B1145" s="562" t="s">
        <v>1005</v>
      </c>
      <c r="C1145" s="562">
        <v>2500</v>
      </c>
      <c r="D1145" s="571">
        <v>6890</v>
      </c>
      <c r="E1145" s="563">
        <f>SUMIFS('Accounting data'!$G$2:$G$37000,'Accounting data'!$J$2:$J$37000,"25*",'Accounting data'!$K$2:$K$37000,"689*")</f>
        <v>15692</v>
      </c>
    </row>
    <row r="1146" spans="1:5" x14ac:dyDescent="0.2">
      <c r="A1146" s="562" t="s">
        <v>1006</v>
      </c>
      <c r="B1146" s="562" t="s">
        <v>1005</v>
      </c>
      <c r="C1146" s="562">
        <v>2500</v>
      </c>
      <c r="D1146" s="571">
        <v>6890</v>
      </c>
      <c r="E1146" s="563">
        <f>SUMIFS('Accounting data'!$G$2:$G$37000,'Accounting data'!$H$2:$H$37000,"9999*",'Accounting data'!$J$2:$J$37000,"25*",'Accounting data'!$K$2:$K$37000,"689*")</f>
        <v>0</v>
      </c>
    </row>
    <row r="1147" spans="1:5" x14ac:dyDescent="0.2">
      <c r="A1147" s="562" t="s">
        <v>1005</v>
      </c>
      <c r="B1147" s="562" t="s">
        <v>1007</v>
      </c>
      <c r="C1147" s="562">
        <v>2500</v>
      </c>
      <c r="D1147" s="571">
        <v>6890</v>
      </c>
      <c r="E1147" s="563">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4" t="s">
        <v>1006</v>
      </c>
      <c r="B1148" s="562" t="s">
        <v>1007</v>
      </c>
      <c r="C1148" s="562">
        <v>2500</v>
      </c>
      <c r="D1148" s="571">
        <v>6890</v>
      </c>
      <c r="E1148" s="563">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2"/>
      <c r="B1149" s="562"/>
      <c r="C1149" s="562"/>
      <c r="D1149" s="571"/>
      <c r="E1149" s="563"/>
    </row>
    <row r="1150" spans="1:5" x14ac:dyDescent="0.2">
      <c r="A1150" s="562"/>
      <c r="B1150" s="562"/>
      <c r="C1150" s="562"/>
      <c r="D1150" s="571"/>
      <c r="E1150" s="563"/>
    </row>
    <row r="1151" spans="1:5" x14ac:dyDescent="0.2">
      <c r="A1151" s="565" t="s">
        <v>1092</v>
      </c>
      <c r="B1151" s="565"/>
      <c r="C1151" s="565"/>
      <c r="D1151" s="565"/>
      <c r="E1151" s="567">
        <f>(E1145-E1146-E1147)+(E1148+E1149+E1150)</f>
        <v>15692</v>
      </c>
    </row>
    <row r="1152" spans="1:5" x14ac:dyDescent="0.2">
      <c r="A1152" s="562" t="s">
        <v>1005</v>
      </c>
      <c r="B1152" s="562" t="s">
        <v>1005</v>
      </c>
      <c r="C1152" s="562">
        <v>2900</v>
      </c>
      <c r="D1152" s="571">
        <v>6890</v>
      </c>
      <c r="E1152" s="563">
        <f>SUMIFS('Accounting data'!$G$2:$G$37000,'Accounting data'!$J$2:$J$37000,"29*",'Accounting data'!$K$2:$K$37000,"689*")</f>
        <v>0</v>
      </c>
    </row>
    <row r="1153" spans="1:5" x14ac:dyDescent="0.2">
      <c r="A1153" s="562" t="s">
        <v>1006</v>
      </c>
      <c r="B1153" s="562" t="s">
        <v>1005</v>
      </c>
      <c r="C1153" s="562">
        <v>2900</v>
      </c>
      <c r="D1153" s="571">
        <v>6890</v>
      </c>
      <c r="E1153" s="563">
        <f>SUMIFS('Accounting data'!$G$2:$G$37000,'Accounting data'!$H$2:$H$37000,"9999*",'Accounting data'!$J$2:$J$37000,"29*",'Accounting data'!$K$2:$K$37000,"689*")</f>
        <v>0</v>
      </c>
    </row>
    <row r="1154" spans="1:5" x14ac:dyDescent="0.2">
      <c r="A1154" s="562" t="s">
        <v>1005</v>
      </c>
      <c r="B1154" s="562" t="s">
        <v>1007</v>
      </c>
      <c r="C1154" s="562">
        <v>2900</v>
      </c>
      <c r="D1154" s="571">
        <v>6890</v>
      </c>
      <c r="E1154" s="563">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4" t="s">
        <v>1006</v>
      </c>
      <c r="B1155" s="562" t="s">
        <v>1007</v>
      </c>
      <c r="C1155" s="562">
        <v>2900</v>
      </c>
      <c r="D1155" s="571">
        <v>6890</v>
      </c>
      <c r="E1155" s="563">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2"/>
      <c r="B1156" s="562"/>
      <c r="C1156" s="562"/>
      <c r="D1156" s="571"/>
      <c r="E1156" s="563"/>
    </row>
    <row r="1157" spans="1:5" x14ac:dyDescent="0.2">
      <c r="A1157" s="562"/>
      <c r="B1157" s="562"/>
      <c r="C1157" s="562"/>
      <c r="D1157" s="571"/>
      <c r="E1157" s="563"/>
    </row>
    <row r="1158" spans="1:5" x14ac:dyDescent="0.2">
      <c r="A1158" s="565" t="s">
        <v>1093</v>
      </c>
      <c r="B1158" s="565"/>
      <c r="C1158" s="565"/>
      <c r="D1158" s="565"/>
      <c r="E1158" s="567">
        <f>(E1152-E1153-E1154)+(E1155+E1156+E1157)</f>
        <v>0</v>
      </c>
    </row>
    <row r="1159" spans="1:5" x14ac:dyDescent="0.2">
      <c r="A1159" s="562" t="s">
        <v>1005</v>
      </c>
      <c r="B1159" s="562" t="s">
        <v>1005</v>
      </c>
      <c r="C1159" s="562">
        <v>2600</v>
      </c>
      <c r="D1159" s="571">
        <v>6890</v>
      </c>
      <c r="E1159" s="563">
        <f>SUMIFS('Accounting data'!$G$2:$G$37000,'Accounting data'!$J$2:$J$37000,"26*",'Accounting data'!$K$2:$K$37000,"689*")</f>
        <v>0</v>
      </c>
    </row>
    <row r="1160" spans="1:5" x14ac:dyDescent="0.2">
      <c r="A1160" s="562" t="s">
        <v>1006</v>
      </c>
      <c r="B1160" s="562" t="s">
        <v>1005</v>
      </c>
      <c r="C1160" s="562">
        <v>2600</v>
      </c>
      <c r="D1160" s="571">
        <v>6890</v>
      </c>
      <c r="E1160" s="563">
        <f>SUMIFS('Accounting data'!$G$2:$G$37000,'Accounting data'!$H$2:$H$37000,"9999*",'Accounting data'!$J$2:$J$37000,"26*",'Accounting data'!$K$2:$K$37000,"689*")</f>
        <v>0</v>
      </c>
    </row>
    <row r="1161" spans="1:5" x14ac:dyDescent="0.2">
      <c r="A1161" s="562" t="s">
        <v>1005</v>
      </c>
      <c r="B1161" s="562" t="s">
        <v>1007</v>
      </c>
      <c r="C1161" s="562">
        <v>2600</v>
      </c>
      <c r="D1161" s="571">
        <v>6890</v>
      </c>
      <c r="E1161" s="563">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4" t="s">
        <v>1006</v>
      </c>
      <c r="B1162" s="562" t="s">
        <v>1007</v>
      </c>
      <c r="C1162" s="562">
        <v>2600</v>
      </c>
      <c r="D1162" s="571">
        <v>6890</v>
      </c>
      <c r="E1162" s="563">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2"/>
      <c r="B1163" s="562"/>
      <c r="C1163" s="562"/>
      <c r="D1163" s="571"/>
      <c r="E1163" s="563"/>
    </row>
    <row r="1164" spans="1:5" x14ac:dyDescent="0.2">
      <c r="A1164" s="562"/>
      <c r="B1164" s="562"/>
      <c r="C1164" s="562"/>
      <c r="D1164" s="571"/>
      <c r="E1164" s="563"/>
    </row>
    <row r="1165" spans="1:5" x14ac:dyDescent="0.2">
      <c r="A1165" s="565" t="s">
        <v>1094</v>
      </c>
      <c r="B1165" s="565"/>
      <c r="C1165" s="565"/>
      <c r="D1165" s="565"/>
      <c r="E1165" s="567">
        <f>(E1159-E1160-E1161)+(E1162+E1163+E1164)</f>
        <v>0</v>
      </c>
    </row>
    <row r="1166" spans="1:5" x14ac:dyDescent="0.2">
      <c r="A1166" s="562" t="s">
        <v>1005</v>
      </c>
      <c r="B1166" s="562" t="s">
        <v>1005</v>
      </c>
      <c r="C1166" s="562">
        <v>2700</v>
      </c>
      <c r="D1166" s="571">
        <v>6890</v>
      </c>
      <c r="E1166" s="563">
        <f>SUMIFS('Accounting data'!$G$2:$G$37000,'Accounting data'!$J$2:$J$37000,"27*",'Accounting data'!$K$2:$K$37000,"689*")</f>
        <v>0</v>
      </c>
    </row>
    <row r="1167" spans="1:5" x14ac:dyDescent="0.2">
      <c r="A1167" s="562" t="s">
        <v>1006</v>
      </c>
      <c r="B1167" s="562" t="s">
        <v>1005</v>
      </c>
      <c r="C1167" s="562">
        <v>2700</v>
      </c>
      <c r="D1167" s="571">
        <v>6890</v>
      </c>
      <c r="E1167" s="563">
        <f>SUMIFS('Accounting data'!$G$2:$G$37000,'Accounting data'!$H$2:$H$37000,"9999*",'Accounting data'!$J$2:$J$37000,"27*",'Accounting data'!$K$2:$K$37000,"689*")</f>
        <v>0</v>
      </c>
    </row>
    <row r="1168" spans="1:5" x14ac:dyDescent="0.2">
      <c r="A1168" s="562" t="s">
        <v>1005</v>
      </c>
      <c r="B1168" s="562" t="s">
        <v>1007</v>
      </c>
      <c r="C1168" s="562">
        <v>2700</v>
      </c>
      <c r="D1168" s="571">
        <v>6890</v>
      </c>
      <c r="E1168" s="563">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4" t="s">
        <v>1006</v>
      </c>
      <c r="B1169" s="562" t="s">
        <v>1007</v>
      </c>
      <c r="C1169" s="562">
        <v>2700</v>
      </c>
      <c r="D1169" s="571">
        <v>6890</v>
      </c>
      <c r="E1169" s="563">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2"/>
      <c r="B1170" s="562"/>
      <c r="C1170" s="562"/>
      <c r="D1170" s="571"/>
      <c r="E1170" s="563"/>
    </row>
    <row r="1171" spans="1:5" x14ac:dyDescent="0.2">
      <c r="A1171" s="562"/>
      <c r="B1171" s="562"/>
      <c r="C1171" s="562"/>
      <c r="D1171" s="571"/>
      <c r="E1171" s="563"/>
    </row>
    <row r="1172" spans="1:5" x14ac:dyDescent="0.2">
      <c r="A1172" s="565" t="s">
        <v>1095</v>
      </c>
      <c r="B1172" s="565"/>
      <c r="C1172" s="565"/>
      <c r="D1172" s="565"/>
      <c r="E1172" s="567">
        <f>(E1166-E1167-E1168)+(E1169+E1170+E1171)</f>
        <v>0</v>
      </c>
    </row>
    <row r="1173" spans="1:5" x14ac:dyDescent="0.2">
      <c r="A1173" s="562" t="s">
        <v>1005</v>
      </c>
      <c r="B1173" s="562" t="s">
        <v>1005</v>
      </c>
      <c r="C1173" s="562">
        <v>3100</v>
      </c>
      <c r="D1173" s="571">
        <v>6890</v>
      </c>
      <c r="E1173" s="563">
        <f>SUMIFS('Accounting data'!$G$2:$G$37000,'Accounting data'!$J$2:$J$37000,"31*",'Accounting data'!$K$2:$K$37000,"689*")</f>
        <v>0</v>
      </c>
    </row>
    <row r="1174" spans="1:5" x14ac:dyDescent="0.2">
      <c r="A1174" s="562" t="s">
        <v>1006</v>
      </c>
      <c r="B1174" s="562" t="s">
        <v>1005</v>
      </c>
      <c r="C1174" s="562">
        <v>3100</v>
      </c>
      <c r="D1174" s="571">
        <v>6890</v>
      </c>
      <c r="E1174" s="563">
        <f>SUMIFS('Accounting data'!$G$2:$G$37000,'Accounting data'!$H$2:$H$37000,"9999*",'Accounting data'!$J$2:$J$37000,"31*",'Accounting data'!$K$2:$K$37000,"689*")</f>
        <v>0</v>
      </c>
    </row>
    <row r="1175" spans="1:5" x14ac:dyDescent="0.2">
      <c r="A1175" s="562" t="s">
        <v>1005</v>
      </c>
      <c r="B1175" s="562" t="s">
        <v>1007</v>
      </c>
      <c r="C1175" s="562">
        <v>3100</v>
      </c>
      <c r="D1175" s="571">
        <v>6890</v>
      </c>
      <c r="E1175" s="563">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4" t="s">
        <v>1006</v>
      </c>
      <c r="B1176" s="562" t="s">
        <v>1007</v>
      </c>
      <c r="C1176" s="562">
        <v>3100</v>
      </c>
      <c r="D1176" s="571">
        <v>6890</v>
      </c>
      <c r="E1176" s="563">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2"/>
      <c r="B1177" s="562"/>
      <c r="C1177" s="562"/>
      <c r="D1177" s="571"/>
      <c r="E1177" s="563"/>
    </row>
    <row r="1178" spans="1:5" x14ac:dyDescent="0.2">
      <c r="A1178" s="562"/>
      <c r="B1178" s="562"/>
      <c r="C1178" s="562"/>
      <c r="D1178" s="571"/>
      <c r="E1178" s="563"/>
    </row>
    <row r="1179" spans="1:5" x14ac:dyDescent="0.2">
      <c r="A1179" s="565" t="s">
        <v>1096</v>
      </c>
      <c r="B1179" s="565"/>
      <c r="C1179" s="565"/>
      <c r="D1179" s="565"/>
      <c r="E1179" s="567">
        <f>(E1173-E1174-E1175)+(E1176+E1177+E1178)</f>
        <v>0</v>
      </c>
    </row>
    <row r="1180" spans="1:5" x14ac:dyDescent="0.2">
      <c r="A1180" s="562"/>
      <c r="B1180" s="562"/>
      <c r="C1180" s="562"/>
      <c r="D1180" s="571"/>
      <c r="E1180" s="563"/>
    </row>
    <row r="1181" spans="1:5" x14ac:dyDescent="0.2">
      <c r="A1181" s="562"/>
      <c r="B1181" s="562"/>
      <c r="C1181" s="562"/>
      <c r="D1181" s="571"/>
      <c r="E1181" s="563"/>
    </row>
    <row r="1182" spans="1:5" x14ac:dyDescent="0.2">
      <c r="A1182" s="562"/>
      <c r="B1182" s="562"/>
      <c r="C1182" s="562"/>
      <c r="D1182" s="571"/>
      <c r="E1182" s="563"/>
    </row>
    <row r="1183" spans="1:5" x14ac:dyDescent="0.2">
      <c r="A1183" s="564"/>
      <c r="B1183" s="562"/>
      <c r="C1183" s="562"/>
      <c r="D1183" s="571"/>
      <c r="E1183" s="563"/>
    </row>
    <row r="1184" spans="1:5" x14ac:dyDescent="0.2">
      <c r="A1184" s="562"/>
      <c r="B1184" s="562"/>
      <c r="C1184" s="562"/>
      <c r="D1184" s="571"/>
      <c r="E1184" s="563"/>
    </row>
    <row r="1185" spans="1:5" x14ac:dyDescent="0.2">
      <c r="A1185" s="562"/>
      <c r="B1185" s="562"/>
      <c r="C1185" s="562"/>
      <c r="D1185" s="571"/>
      <c r="E1185" s="563"/>
    </row>
    <row r="1186" spans="1:5" x14ac:dyDescent="0.2">
      <c r="A1186" s="565" t="s">
        <v>1097</v>
      </c>
      <c r="B1186" s="565"/>
      <c r="C1186" s="565"/>
      <c r="D1186" s="565"/>
      <c r="E1186" s="567">
        <f>(E1180-E1181-E1182)+(E1183+E1184+E1185)</f>
        <v>0</v>
      </c>
    </row>
    <row r="1187" spans="1:5" x14ac:dyDescent="0.2">
      <c r="A1187" s="562" t="s">
        <v>1005</v>
      </c>
      <c r="B1187" s="562" t="s">
        <v>1005</v>
      </c>
      <c r="C1187" s="562">
        <v>3400</v>
      </c>
      <c r="D1187" s="571">
        <v>6890</v>
      </c>
      <c r="E1187" s="563">
        <f>SUMIFS('Accounting data'!$G$2:$G$37000,'Accounting data'!$J$2:$J$37000,"34*",'Accounting data'!$K$2:$K$37000,"689*")</f>
        <v>0</v>
      </c>
    </row>
    <row r="1188" spans="1:5" x14ac:dyDescent="0.2">
      <c r="A1188" s="562" t="s">
        <v>1006</v>
      </c>
      <c r="B1188" s="562" t="s">
        <v>1005</v>
      </c>
      <c r="C1188" s="562">
        <v>3400</v>
      </c>
      <c r="D1188" s="571">
        <v>6890</v>
      </c>
      <c r="E1188" s="563">
        <f>SUMIFS('Accounting data'!$G$2:$G$37000,'Accounting data'!$H$2:$H$37000,"9999*",'Accounting data'!$J$2:$J$37000,"34*",'Accounting data'!$K$2:$K$37000,"689*")</f>
        <v>0</v>
      </c>
    </row>
    <row r="1189" spans="1:5" x14ac:dyDescent="0.2">
      <c r="A1189" s="562" t="s">
        <v>1005</v>
      </c>
      <c r="B1189" s="562" t="s">
        <v>1007</v>
      </c>
      <c r="C1189" s="562">
        <v>3400</v>
      </c>
      <c r="D1189" s="571">
        <v>6890</v>
      </c>
      <c r="E1189" s="563">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4" t="s">
        <v>1006</v>
      </c>
      <c r="B1190" s="562" t="s">
        <v>1007</v>
      </c>
      <c r="C1190" s="562">
        <v>3400</v>
      </c>
      <c r="D1190" s="571">
        <v>6890</v>
      </c>
      <c r="E1190" s="563">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2"/>
      <c r="B1191" s="562"/>
      <c r="C1191" s="562"/>
      <c r="D1191" s="571"/>
      <c r="E1191" s="563"/>
    </row>
    <row r="1192" spans="1:5" x14ac:dyDescent="0.2">
      <c r="A1192" s="562"/>
      <c r="B1192" s="562"/>
      <c r="C1192" s="562"/>
      <c r="D1192" s="571"/>
      <c r="E1192" s="563"/>
    </row>
    <row r="1193" spans="1:5" x14ac:dyDescent="0.2">
      <c r="A1193" s="565" t="s">
        <v>1098</v>
      </c>
      <c r="B1193" s="565"/>
      <c r="C1193" s="565"/>
      <c r="D1193" s="565"/>
      <c r="E1193" s="567">
        <f>(E1187-E1188-E1189)+(E1190+E1191+E1192)</f>
        <v>0</v>
      </c>
    </row>
    <row r="1194" spans="1:5" x14ac:dyDescent="0.2">
      <c r="A1194" s="562" t="s">
        <v>1005</v>
      </c>
      <c r="B1194" s="562" t="s">
        <v>1005</v>
      </c>
      <c r="C1194" s="562">
        <v>4000</v>
      </c>
      <c r="D1194" s="571">
        <v>6890</v>
      </c>
      <c r="E1194" s="563">
        <f>SUMIFS('Accounting data'!$G$2:$G$37000,'Accounting data'!$J$2:$J$37000,"4*",'Accounting data'!$K$2:$K$37000,"689*")</f>
        <v>0</v>
      </c>
    </row>
    <row r="1195" spans="1:5" x14ac:dyDescent="0.2">
      <c r="A1195" s="562" t="s">
        <v>1006</v>
      </c>
      <c r="B1195" s="562" t="s">
        <v>1005</v>
      </c>
      <c r="C1195" s="562">
        <v>4000</v>
      </c>
      <c r="D1195" s="571">
        <v>6890</v>
      </c>
      <c r="E1195" s="563">
        <f>SUMIFS('Accounting data'!$G$2:$G$37000,'Accounting data'!$H$2:$H$37000,"9999*",'Accounting data'!$J$2:$J$37000,"4*",'Accounting data'!$K$2:$K$37000,"689*")</f>
        <v>0</v>
      </c>
    </row>
    <row r="1196" spans="1:5" x14ac:dyDescent="0.2">
      <c r="A1196" s="562" t="s">
        <v>1005</v>
      </c>
      <c r="B1196" s="562" t="s">
        <v>1007</v>
      </c>
      <c r="C1196" s="562">
        <v>4000</v>
      </c>
      <c r="D1196" s="571">
        <v>6890</v>
      </c>
      <c r="E1196" s="563">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4" t="s">
        <v>1006</v>
      </c>
      <c r="B1197" s="562" t="s">
        <v>1007</v>
      </c>
      <c r="C1197" s="562">
        <v>4000</v>
      </c>
      <c r="D1197" s="571">
        <v>6890</v>
      </c>
      <c r="E1197" s="563">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2"/>
      <c r="B1198" s="562"/>
      <c r="C1198" s="562"/>
      <c r="D1198" s="571"/>
      <c r="E1198" s="563"/>
    </row>
    <row r="1199" spans="1:5" x14ac:dyDescent="0.2">
      <c r="A1199" s="562"/>
      <c r="B1199" s="562"/>
      <c r="C1199" s="562"/>
      <c r="D1199" s="571"/>
      <c r="E1199" s="563"/>
    </row>
    <row r="1200" spans="1:5" x14ac:dyDescent="0.2">
      <c r="A1200" s="565" t="s">
        <v>1099</v>
      </c>
      <c r="B1200" s="565"/>
      <c r="C1200" s="565"/>
      <c r="D1200" s="565"/>
      <c r="E1200" s="567">
        <f>(E1194-E1195-E1196)+(E1197+E1198+E1199)</f>
        <v>0</v>
      </c>
    </row>
    <row r="1201" spans="1:5" x14ac:dyDescent="0.2">
      <c r="A1201" s="568" t="s">
        <v>1100</v>
      </c>
      <c r="B1201" s="568"/>
      <c r="C1201" s="568"/>
      <c r="D1201" s="568"/>
      <c r="E1201" s="572">
        <f>E1116+E1123+E1130+E1137+E1144+E1151+E1158+E1165+E1172+E1179+E1186+E1193</f>
        <v>21156</v>
      </c>
    </row>
    <row r="1202" spans="1:5" x14ac:dyDescent="0.2">
      <c r="A1202" s="562" t="s">
        <v>1021</v>
      </c>
      <c r="B1202" s="562" t="s">
        <v>1005</v>
      </c>
      <c r="C1202" s="562">
        <v>1000</v>
      </c>
      <c r="D1202" s="562">
        <v>6890</v>
      </c>
      <c r="E1202" s="563">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2" t="s">
        <v>1021</v>
      </c>
      <c r="B1203" s="562" t="s">
        <v>1005</v>
      </c>
      <c r="C1203" s="562">
        <v>2000</v>
      </c>
      <c r="D1203" s="562">
        <v>6890</v>
      </c>
      <c r="E1203" s="563">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2" t="s">
        <v>1021</v>
      </c>
      <c r="B1204" s="562" t="s">
        <v>1005</v>
      </c>
      <c r="C1204" s="562">
        <v>3000</v>
      </c>
      <c r="D1204" s="562">
        <v>6890</v>
      </c>
      <c r="E1204" s="563">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2" t="s">
        <v>1021</v>
      </c>
      <c r="B1205" s="564">
        <v>700</v>
      </c>
      <c r="C1205" s="562">
        <v>1000</v>
      </c>
      <c r="D1205" s="562">
        <v>6890</v>
      </c>
      <c r="E1205" s="563">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2" t="s">
        <v>1021</v>
      </c>
      <c r="B1206" s="564">
        <v>800</v>
      </c>
      <c r="C1206" s="562">
        <v>1000</v>
      </c>
      <c r="D1206" s="562">
        <v>6890</v>
      </c>
      <c r="E1206" s="563">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2" t="s">
        <v>1021</v>
      </c>
      <c r="B1207" s="564">
        <v>900</v>
      </c>
      <c r="C1207" s="562">
        <v>1000</v>
      </c>
      <c r="D1207" s="562">
        <v>6890</v>
      </c>
      <c r="E1207" s="563">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2" t="s">
        <v>1021</v>
      </c>
      <c r="B1208" s="564">
        <v>700</v>
      </c>
      <c r="C1208" s="562">
        <v>2000</v>
      </c>
      <c r="D1208" s="562">
        <v>6890</v>
      </c>
      <c r="E1208" s="563">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2" t="s">
        <v>1021</v>
      </c>
      <c r="B1209" s="564">
        <v>800</v>
      </c>
      <c r="C1209" s="562">
        <v>2000</v>
      </c>
      <c r="D1209" s="562">
        <v>6890</v>
      </c>
      <c r="E1209" s="563">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2" t="s">
        <v>1021</v>
      </c>
      <c r="B1210" s="564">
        <v>900</v>
      </c>
      <c r="C1210" s="562">
        <v>2000</v>
      </c>
      <c r="D1210" s="562">
        <v>6890</v>
      </c>
      <c r="E1210" s="563">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2" t="s">
        <v>1021</v>
      </c>
      <c r="B1211" s="564">
        <v>700</v>
      </c>
      <c r="C1211" s="562">
        <v>3000</v>
      </c>
      <c r="D1211" s="562">
        <v>6890</v>
      </c>
      <c r="E1211" s="563">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2" t="s">
        <v>1021</v>
      </c>
      <c r="B1212" s="564">
        <v>800</v>
      </c>
      <c r="C1212" s="562">
        <v>3000</v>
      </c>
      <c r="D1212" s="562">
        <v>6890</v>
      </c>
      <c r="E1212" s="563">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2" t="s">
        <v>1021</v>
      </c>
      <c r="B1213" s="564">
        <v>900</v>
      </c>
      <c r="C1213" s="562">
        <v>3000</v>
      </c>
      <c r="D1213" s="562">
        <v>6890</v>
      </c>
      <c r="E1213" s="563">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5" t="s">
        <v>1101</v>
      </c>
      <c r="B1214" s="565"/>
      <c r="C1214" s="565"/>
      <c r="D1214" s="565"/>
      <c r="E1214" s="567">
        <f>(E1202+E1203+E1204)-(E1205+E1206+E1207+E1208+E1209+E1210+E1211+E1212+E1213)</f>
        <v>0</v>
      </c>
    </row>
    <row r="1215" spans="1:5" x14ac:dyDescent="0.2">
      <c r="A1215" s="562" t="s">
        <v>1005</v>
      </c>
      <c r="B1215" s="562" t="s">
        <v>1007</v>
      </c>
      <c r="C1215" s="562">
        <v>1000</v>
      </c>
      <c r="D1215" s="562">
        <v>6000</v>
      </c>
      <c r="E1215" s="563">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2" t="s">
        <v>1005</v>
      </c>
      <c r="B1216" s="562" t="s">
        <v>1007</v>
      </c>
      <c r="C1216" s="562">
        <v>1000</v>
      </c>
      <c r="D1216" s="562">
        <v>6900</v>
      </c>
      <c r="E1216" s="563">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2" t="s">
        <v>1005</v>
      </c>
      <c r="B1217" s="562" t="s">
        <v>1007</v>
      </c>
      <c r="C1217" s="562">
        <v>1000</v>
      </c>
      <c r="D1217" s="571">
        <v>6700</v>
      </c>
      <c r="E1217" s="563">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4" t="s">
        <v>1006</v>
      </c>
      <c r="B1218" s="562" t="s">
        <v>1007</v>
      </c>
      <c r="C1218" s="562">
        <v>1000</v>
      </c>
      <c r="D1218" s="562">
        <v>6000</v>
      </c>
      <c r="E1218" s="563">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2"/>
      <c r="B1219" s="562"/>
      <c r="C1219" s="562"/>
      <c r="D1219" s="562"/>
      <c r="E1219" s="563"/>
    </row>
    <row r="1220" spans="1:5" x14ac:dyDescent="0.2">
      <c r="A1220" s="564" t="s">
        <v>1006</v>
      </c>
      <c r="B1220" s="562" t="s">
        <v>1007</v>
      </c>
      <c r="C1220" s="562">
        <v>1000</v>
      </c>
      <c r="D1220" s="562">
        <v>6900</v>
      </c>
      <c r="E1220" s="563">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2"/>
      <c r="B1221" s="562"/>
      <c r="C1221" s="562"/>
      <c r="D1221" s="562"/>
      <c r="E1221" s="563"/>
    </row>
    <row r="1222" spans="1:5" x14ac:dyDescent="0.2">
      <c r="A1222" s="564" t="s">
        <v>1006</v>
      </c>
      <c r="B1222" s="562" t="s">
        <v>1007</v>
      </c>
      <c r="C1222" s="562">
        <v>1000</v>
      </c>
      <c r="D1222" s="571">
        <v>6700</v>
      </c>
      <c r="E1222" s="563">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4"/>
      <c r="B1223" s="562"/>
      <c r="C1223" s="562"/>
      <c r="D1223" s="571"/>
      <c r="E1223" s="563"/>
    </row>
    <row r="1224" spans="1:5" x14ac:dyDescent="0.2">
      <c r="A1224" s="564"/>
      <c r="B1224" s="562"/>
      <c r="C1224" s="562"/>
      <c r="D1224" s="571"/>
      <c r="E1224" s="563"/>
    </row>
    <row r="1225" spans="1:5" x14ac:dyDescent="0.2">
      <c r="A1225" s="565" t="s">
        <v>1102</v>
      </c>
      <c r="B1225" s="565"/>
      <c r="C1225" s="565"/>
      <c r="D1225" s="565"/>
      <c r="E1225" s="567">
        <f>(E1215-E1216-E1217)-((E1218+E1219)-(E1220+E1221))-(E1222+E1223+E1224)</f>
        <v>0</v>
      </c>
    </row>
    <row r="1226" spans="1:5" x14ac:dyDescent="0.2">
      <c r="A1226" s="562" t="s">
        <v>1005</v>
      </c>
      <c r="B1226" s="562" t="s">
        <v>1007</v>
      </c>
      <c r="C1226" s="562">
        <v>2100</v>
      </c>
      <c r="D1226" s="562">
        <v>6000</v>
      </c>
      <c r="E1226" s="563">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2" t="s">
        <v>1005</v>
      </c>
      <c r="B1227" s="562" t="s">
        <v>1007</v>
      </c>
      <c r="C1227" s="562">
        <v>2100</v>
      </c>
      <c r="D1227" s="562">
        <v>6900</v>
      </c>
      <c r="E1227" s="563">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2" t="s">
        <v>1005</v>
      </c>
      <c r="B1228" s="562" t="s">
        <v>1007</v>
      </c>
      <c r="C1228" s="562">
        <v>2100</v>
      </c>
      <c r="D1228" s="571">
        <v>6700</v>
      </c>
      <c r="E1228" s="563">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4" t="s">
        <v>1006</v>
      </c>
      <c r="B1229" s="562" t="s">
        <v>1007</v>
      </c>
      <c r="C1229" s="562">
        <v>2100</v>
      </c>
      <c r="D1229" s="562">
        <v>6000</v>
      </c>
      <c r="E1229" s="563">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2"/>
      <c r="B1230" s="562"/>
      <c r="C1230" s="562"/>
      <c r="D1230" s="562"/>
      <c r="E1230" s="563"/>
    </row>
    <row r="1231" spans="1:5" x14ac:dyDescent="0.2">
      <c r="A1231" s="564" t="s">
        <v>1006</v>
      </c>
      <c r="B1231" s="562" t="s">
        <v>1007</v>
      </c>
      <c r="C1231" s="562">
        <v>2100</v>
      </c>
      <c r="D1231" s="562">
        <v>6900</v>
      </c>
      <c r="E1231" s="563">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2"/>
      <c r="B1232" s="562"/>
      <c r="C1232" s="562"/>
      <c r="D1232" s="562"/>
      <c r="E1232" s="563"/>
    </row>
    <row r="1233" spans="1:5" x14ac:dyDescent="0.2">
      <c r="A1233" s="564" t="s">
        <v>1006</v>
      </c>
      <c r="B1233" s="562" t="s">
        <v>1007</v>
      </c>
      <c r="C1233" s="562">
        <v>2100</v>
      </c>
      <c r="D1233" s="571">
        <v>6700</v>
      </c>
      <c r="E1233" s="563">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4"/>
      <c r="B1234" s="562"/>
      <c r="C1234" s="562"/>
      <c r="D1234" s="571"/>
      <c r="E1234" s="563"/>
    </row>
    <row r="1235" spans="1:5" x14ac:dyDescent="0.2">
      <c r="A1235" s="564"/>
      <c r="B1235" s="562"/>
      <c r="C1235" s="562"/>
      <c r="D1235" s="571"/>
      <c r="E1235" s="563"/>
    </row>
    <row r="1236" spans="1:5" x14ac:dyDescent="0.2">
      <c r="A1236" s="565" t="s">
        <v>1103</v>
      </c>
      <c r="B1236" s="565"/>
      <c r="C1236" s="565"/>
      <c r="D1236" s="565"/>
      <c r="E1236" s="567">
        <f>(E1226-E1227-E1228)-((E1229+E1230)-(E1231+E1232))-(E1233+E1234+E1235)</f>
        <v>0</v>
      </c>
    </row>
    <row r="1237" spans="1:5" x14ac:dyDescent="0.2">
      <c r="A1237" s="562" t="s">
        <v>1005</v>
      </c>
      <c r="B1237" s="562" t="s">
        <v>1007</v>
      </c>
      <c r="C1237" s="562">
        <v>2200</v>
      </c>
      <c r="D1237" s="562">
        <v>6000</v>
      </c>
      <c r="E1237" s="563">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2" t="s">
        <v>1005</v>
      </c>
      <c r="B1238" s="562" t="s">
        <v>1007</v>
      </c>
      <c r="C1238" s="562">
        <v>2200</v>
      </c>
      <c r="D1238" s="562">
        <v>6900</v>
      </c>
      <c r="E1238" s="563">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2" t="s">
        <v>1005</v>
      </c>
      <c r="B1239" s="562" t="s">
        <v>1007</v>
      </c>
      <c r="C1239" s="562">
        <v>2200</v>
      </c>
      <c r="D1239" s="571">
        <v>6700</v>
      </c>
      <c r="E1239" s="563">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4" t="s">
        <v>1006</v>
      </c>
      <c r="B1240" s="562" t="s">
        <v>1007</v>
      </c>
      <c r="C1240" s="562">
        <v>2200</v>
      </c>
      <c r="D1240" s="562">
        <v>6000</v>
      </c>
      <c r="E1240" s="563">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2"/>
      <c r="B1241" s="562"/>
      <c r="C1241" s="562"/>
      <c r="D1241" s="562"/>
      <c r="E1241" s="563"/>
    </row>
    <row r="1242" spans="1:5" x14ac:dyDescent="0.2">
      <c r="A1242" s="564" t="s">
        <v>1006</v>
      </c>
      <c r="B1242" s="562" t="s">
        <v>1007</v>
      </c>
      <c r="C1242" s="562">
        <v>2200</v>
      </c>
      <c r="D1242" s="562">
        <v>6900</v>
      </c>
      <c r="E1242" s="563">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2"/>
      <c r="B1243" s="562"/>
      <c r="C1243" s="562"/>
      <c r="D1243" s="562"/>
      <c r="E1243" s="563"/>
    </row>
    <row r="1244" spans="1:5" x14ac:dyDescent="0.2">
      <c r="A1244" s="564" t="s">
        <v>1006</v>
      </c>
      <c r="B1244" s="562" t="s">
        <v>1007</v>
      </c>
      <c r="C1244" s="562">
        <v>2200</v>
      </c>
      <c r="D1244" s="571">
        <v>6700</v>
      </c>
      <c r="E1244" s="563">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4"/>
      <c r="B1245" s="562"/>
      <c r="C1245" s="562"/>
      <c r="D1245" s="571"/>
      <c r="E1245" s="563"/>
    </row>
    <row r="1246" spans="1:5" x14ac:dyDescent="0.2">
      <c r="A1246" s="564"/>
      <c r="B1246" s="562"/>
      <c r="C1246" s="562"/>
      <c r="D1246" s="571"/>
      <c r="E1246" s="563"/>
    </row>
    <row r="1247" spans="1:5" x14ac:dyDescent="0.2">
      <c r="A1247" s="565" t="s">
        <v>1104</v>
      </c>
      <c r="B1247" s="565"/>
      <c r="C1247" s="565"/>
      <c r="D1247" s="565"/>
      <c r="E1247" s="567">
        <f>(E1237-E1238-E1239)-((E1240+E1241)-(E1242+E1243))-(E1244+E1245+E1246)</f>
        <v>0</v>
      </c>
    </row>
    <row r="1248" spans="1:5" x14ac:dyDescent="0.2">
      <c r="A1248" s="562" t="s">
        <v>1005</v>
      </c>
      <c r="B1248" s="562" t="s">
        <v>1007</v>
      </c>
      <c r="C1248" s="562">
        <v>2300</v>
      </c>
      <c r="D1248" s="562">
        <v>6000</v>
      </c>
      <c r="E1248" s="563">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2" t="s">
        <v>1005</v>
      </c>
      <c r="B1249" s="562" t="s">
        <v>1007</v>
      </c>
      <c r="C1249" s="562">
        <v>2300</v>
      </c>
      <c r="D1249" s="562">
        <v>6900</v>
      </c>
      <c r="E1249" s="563">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2" t="s">
        <v>1005</v>
      </c>
      <c r="B1250" s="562" t="s">
        <v>1007</v>
      </c>
      <c r="C1250" s="562">
        <v>2300</v>
      </c>
      <c r="D1250" s="571">
        <v>6700</v>
      </c>
      <c r="E1250" s="563">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4" t="s">
        <v>1006</v>
      </c>
      <c r="B1251" s="562" t="s">
        <v>1007</v>
      </c>
      <c r="C1251" s="562">
        <v>2300</v>
      </c>
      <c r="D1251" s="562">
        <v>6000</v>
      </c>
      <c r="E1251" s="563">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2"/>
      <c r="B1252" s="562"/>
      <c r="C1252" s="562"/>
      <c r="D1252" s="562"/>
      <c r="E1252" s="563"/>
    </row>
    <row r="1253" spans="1:5" x14ac:dyDescent="0.2">
      <c r="A1253" s="564" t="s">
        <v>1006</v>
      </c>
      <c r="B1253" s="562" t="s">
        <v>1007</v>
      </c>
      <c r="C1253" s="562">
        <v>2300</v>
      </c>
      <c r="D1253" s="562">
        <v>6900</v>
      </c>
      <c r="E1253" s="563">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2"/>
      <c r="B1254" s="562"/>
      <c r="C1254" s="562"/>
      <c r="D1254" s="562"/>
      <c r="E1254" s="563"/>
    </row>
    <row r="1255" spans="1:5" x14ac:dyDescent="0.2">
      <c r="A1255" s="564" t="s">
        <v>1006</v>
      </c>
      <c r="B1255" s="562" t="s">
        <v>1007</v>
      </c>
      <c r="C1255" s="562">
        <v>2300</v>
      </c>
      <c r="D1255" s="571">
        <v>6700</v>
      </c>
      <c r="E1255" s="563">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4"/>
      <c r="B1256" s="562"/>
      <c r="C1256" s="562"/>
      <c r="D1256" s="571"/>
      <c r="E1256" s="563"/>
    </row>
    <row r="1257" spans="1:5" x14ac:dyDescent="0.2">
      <c r="A1257" s="564"/>
      <c r="B1257" s="562"/>
      <c r="C1257" s="562"/>
      <c r="D1257" s="571"/>
      <c r="E1257" s="563"/>
    </row>
    <row r="1258" spans="1:5" x14ac:dyDescent="0.2">
      <c r="A1258" s="565" t="s">
        <v>1105</v>
      </c>
      <c r="B1258" s="565"/>
      <c r="C1258" s="565"/>
      <c r="D1258" s="565"/>
      <c r="E1258" s="567">
        <f>(E1248-E1249-E1250)-((E1251+E1252)-(E1253+E1254))-(E1255+E1256+E1257)</f>
        <v>0</v>
      </c>
    </row>
    <row r="1259" spans="1:5" x14ac:dyDescent="0.2">
      <c r="A1259" s="562" t="s">
        <v>1005</v>
      </c>
      <c r="B1259" s="562" t="s">
        <v>1007</v>
      </c>
      <c r="C1259" s="562">
        <v>2400</v>
      </c>
      <c r="D1259" s="562">
        <v>6000</v>
      </c>
      <c r="E1259" s="563">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2" t="s">
        <v>1005</v>
      </c>
      <c r="B1260" s="562" t="s">
        <v>1007</v>
      </c>
      <c r="C1260" s="562">
        <v>2400</v>
      </c>
      <c r="D1260" s="562">
        <v>6900</v>
      </c>
      <c r="E1260" s="563">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2" t="s">
        <v>1005</v>
      </c>
      <c r="B1261" s="562" t="s">
        <v>1007</v>
      </c>
      <c r="C1261" s="562">
        <v>2400</v>
      </c>
      <c r="D1261" s="571">
        <v>6700</v>
      </c>
      <c r="E1261" s="563">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4" t="s">
        <v>1006</v>
      </c>
      <c r="B1262" s="562" t="s">
        <v>1007</v>
      </c>
      <c r="C1262" s="562">
        <v>2400</v>
      </c>
      <c r="D1262" s="562">
        <v>6000</v>
      </c>
      <c r="E1262" s="563">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2"/>
      <c r="B1263" s="562"/>
      <c r="C1263" s="562"/>
      <c r="D1263" s="562"/>
      <c r="E1263" s="563"/>
    </row>
    <row r="1264" spans="1:5" x14ac:dyDescent="0.2">
      <c r="A1264" s="564" t="s">
        <v>1006</v>
      </c>
      <c r="B1264" s="562" t="s">
        <v>1007</v>
      </c>
      <c r="C1264" s="562">
        <v>2400</v>
      </c>
      <c r="D1264" s="562">
        <v>6900</v>
      </c>
      <c r="E1264" s="563">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2"/>
      <c r="B1265" s="562"/>
      <c r="C1265" s="562"/>
      <c r="D1265" s="562"/>
      <c r="E1265" s="563"/>
    </row>
    <row r="1266" spans="1:5" x14ac:dyDescent="0.2">
      <c r="A1266" s="564" t="s">
        <v>1006</v>
      </c>
      <c r="B1266" s="562" t="s">
        <v>1007</v>
      </c>
      <c r="C1266" s="562">
        <v>2400</v>
      </c>
      <c r="D1266" s="571">
        <v>6700</v>
      </c>
      <c r="E1266" s="563">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4"/>
      <c r="B1267" s="562"/>
      <c r="C1267" s="562"/>
      <c r="D1267" s="571"/>
      <c r="E1267" s="563"/>
    </row>
    <row r="1268" spans="1:5" x14ac:dyDescent="0.2">
      <c r="A1268" s="564"/>
      <c r="B1268" s="562"/>
      <c r="C1268" s="562"/>
      <c r="D1268" s="571"/>
      <c r="E1268" s="563"/>
    </row>
    <row r="1269" spans="1:5" x14ac:dyDescent="0.2">
      <c r="A1269" s="565" t="s">
        <v>1106</v>
      </c>
      <c r="B1269" s="565"/>
      <c r="C1269" s="565"/>
      <c r="D1269" s="565"/>
      <c r="E1269" s="567">
        <f>(E1259-E1260-E1261)-((E1262+E1263)-(E1264+E1265))-(E1266+E1267+E1268)</f>
        <v>0</v>
      </c>
    </row>
    <row r="1270" spans="1:5" x14ac:dyDescent="0.2">
      <c r="A1270" s="562" t="s">
        <v>1005</v>
      </c>
      <c r="B1270" s="562" t="s">
        <v>1007</v>
      </c>
      <c r="C1270" s="562">
        <v>2500</v>
      </c>
      <c r="D1270" s="562">
        <v>6000</v>
      </c>
      <c r="E1270" s="563">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2" t="s">
        <v>1005</v>
      </c>
      <c r="B1271" s="562" t="s">
        <v>1007</v>
      </c>
      <c r="C1271" s="562">
        <v>2500</v>
      </c>
      <c r="D1271" s="562">
        <v>6900</v>
      </c>
      <c r="E1271" s="563">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2" t="s">
        <v>1005</v>
      </c>
      <c r="B1272" s="562" t="s">
        <v>1007</v>
      </c>
      <c r="C1272" s="562">
        <v>2500</v>
      </c>
      <c r="D1272" s="571">
        <v>6700</v>
      </c>
      <c r="E1272" s="563">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4" t="s">
        <v>1006</v>
      </c>
      <c r="B1273" s="562" t="s">
        <v>1007</v>
      </c>
      <c r="C1273" s="562">
        <v>2500</v>
      </c>
      <c r="D1273" s="562">
        <v>6000</v>
      </c>
      <c r="E1273" s="563">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2"/>
      <c r="B1274" s="562"/>
      <c r="C1274" s="562"/>
      <c r="D1274" s="562"/>
      <c r="E1274" s="563"/>
    </row>
    <row r="1275" spans="1:5" x14ac:dyDescent="0.2">
      <c r="A1275" s="564" t="s">
        <v>1006</v>
      </c>
      <c r="B1275" s="562" t="s">
        <v>1007</v>
      </c>
      <c r="C1275" s="562">
        <v>2500</v>
      </c>
      <c r="D1275" s="562">
        <v>6900</v>
      </c>
      <c r="E1275" s="563">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2"/>
      <c r="B1276" s="562"/>
      <c r="C1276" s="562"/>
      <c r="D1276" s="562"/>
      <c r="E1276" s="563"/>
    </row>
    <row r="1277" spans="1:5" x14ac:dyDescent="0.2">
      <c r="A1277" s="564" t="s">
        <v>1006</v>
      </c>
      <c r="B1277" s="562" t="s">
        <v>1007</v>
      </c>
      <c r="C1277" s="562">
        <v>2500</v>
      </c>
      <c r="D1277" s="571">
        <v>6700</v>
      </c>
      <c r="E1277" s="563">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4"/>
      <c r="B1278" s="562"/>
      <c r="C1278" s="562"/>
      <c r="D1278" s="571"/>
      <c r="E1278" s="563"/>
    </row>
    <row r="1279" spans="1:5" x14ac:dyDescent="0.2">
      <c r="A1279" s="564"/>
      <c r="B1279" s="562"/>
      <c r="C1279" s="562"/>
      <c r="D1279" s="571"/>
      <c r="E1279" s="563"/>
    </row>
    <row r="1280" spans="1:5" x14ac:dyDescent="0.2">
      <c r="A1280" s="565" t="s">
        <v>1107</v>
      </c>
      <c r="B1280" s="565"/>
      <c r="C1280" s="565"/>
      <c r="D1280" s="565"/>
      <c r="E1280" s="567">
        <f>(E1270-E1271-E1272)-((E1273+E1274)-(E1275+E1276))-(E1277+E1278+E1279)</f>
        <v>0</v>
      </c>
    </row>
    <row r="1281" spans="1:5" x14ac:dyDescent="0.2">
      <c r="A1281" s="562" t="s">
        <v>1005</v>
      </c>
      <c r="B1281" s="562" t="s">
        <v>1007</v>
      </c>
      <c r="C1281" s="562">
        <v>2900</v>
      </c>
      <c r="D1281" s="562">
        <v>6000</v>
      </c>
      <c r="E1281" s="563">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2" t="s">
        <v>1005</v>
      </c>
      <c r="B1282" s="562" t="s">
        <v>1007</v>
      </c>
      <c r="C1282" s="562">
        <v>2900</v>
      </c>
      <c r="D1282" s="562">
        <v>6900</v>
      </c>
      <c r="E1282" s="563">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2" t="s">
        <v>1005</v>
      </c>
      <c r="B1283" s="562" t="s">
        <v>1007</v>
      </c>
      <c r="C1283" s="562">
        <v>2900</v>
      </c>
      <c r="D1283" s="571">
        <v>6700</v>
      </c>
      <c r="E1283" s="563">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4" t="s">
        <v>1006</v>
      </c>
      <c r="B1284" s="562" t="s">
        <v>1007</v>
      </c>
      <c r="C1284" s="562">
        <v>2900</v>
      </c>
      <c r="D1284" s="562">
        <v>6000</v>
      </c>
      <c r="E1284" s="563">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2"/>
      <c r="B1285" s="562"/>
      <c r="C1285" s="562"/>
      <c r="D1285" s="562"/>
      <c r="E1285" s="563"/>
    </row>
    <row r="1286" spans="1:5" x14ac:dyDescent="0.2">
      <c r="A1286" s="564" t="s">
        <v>1006</v>
      </c>
      <c r="B1286" s="562" t="s">
        <v>1007</v>
      </c>
      <c r="C1286" s="562">
        <v>2900</v>
      </c>
      <c r="D1286" s="562">
        <v>6900</v>
      </c>
      <c r="E1286" s="563">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2"/>
      <c r="B1287" s="562"/>
      <c r="C1287" s="562"/>
      <c r="D1287" s="562"/>
      <c r="E1287" s="563"/>
    </row>
    <row r="1288" spans="1:5" x14ac:dyDescent="0.2">
      <c r="A1288" s="564" t="s">
        <v>1006</v>
      </c>
      <c r="B1288" s="562" t="s">
        <v>1007</v>
      </c>
      <c r="C1288" s="562">
        <v>2900</v>
      </c>
      <c r="D1288" s="571">
        <v>6700</v>
      </c>
      <c r="E1288" s="563">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4"/>
      <c r="B1289" s="562"/>
      <c r="C1289" s="562"/>
      <c r="D1289" s="571"/>
      <c r="E1289" s="563"/>
    </row>
    <row r="1290" spans="1:5" x14ac:dyDescent="0.2">
      <c r="A1290" s="564"/>
      <c r="B1290" s="562"/>
      <c r="C1290" s="562"/>
      <c r="D1290" s="571"/>
      <c r="E1290" s="563"/>
    </row>
    <row r="1291" spans="1:5" x14ac:dyDescent="0.2">
      <c r="A1291" s="565" t="s">
        <v>1108</v>
      </c>
      <c r="B1291" s="565"/>
      <c r="C1291" s="565"/>
      <c r="D1291" s="565"/>
      <c r="E1291" s="567">
        <f>(E1281-E1282-E1283)-((E1284+E1285)-(E1286+E1287))-(E1288+E1289+E1290)</f>
        <v>0</v>
      </c>
    </row>
    <row r="1292" spans="1:5" x14ac:dyDescent="0.2">
      <c r="A1292" s="562" t="s">
        <v>1005</v>
      </c>
      <c r="B1292" s="562" t="s">
        <v>1007</v>
      </c>
      <c r="C1292" s="562">
        <v>2600</v>
      </c>
      <c r="D1292" s="562">
        <v>6000</v>
      </c>
      <c r="E1292" s="563">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2" t="s">
        <v>1005</v>
      </c>
      <c r="B1293" s="562" t="s">
        <v>1007</v>
      </c>
      <c r="C1293" s="562">
        <v>2600</v>
      </c>
      <c r="D1293" s="562">
        <v>6900</v>
      </c>
      <c r="E1293" s="563">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2" t="s">
        <v>1005</v>
      </c>
      <c r="B1294" s="562" t="s">
        <v>1007</v>
      </c>
      <c r="C1294" s="562">
        <v>2600</v>
      </c>
      <c r="D1294" s="571">
        <v>6700</v>
      </c>
      <c r="E1294" s="563">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4" t="s">
        <v>1006</v>
      </c>
      <c r="B1295" s="562" t="s">
        <v>1007</v>
      </c>
      <c r="C1295" s="562">
        <v>2600</v>
      </c>
      <c r="D1295" s="562">
        <v>6000</v>
      </c>
      <c r="E1295" s="563">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2"/>
      <c r="B1296" s="562"/>
      <c r="C1296" s="562"/>
      <c r="D1296" s="562"/>
      <c r="E1296" s="563"/>
    </row>
    <row r="1297" spans="1:5" x14ac:dyDescent="0.2">
      <c r="A1297" s="564" t="s">
        <v>1006</v>
      </c>
      <c r="B1297" s="562" t="s">
        <v>1007</v>
      </c>
      <c r="C1297" s="562">
        <v>2600</v>
      </c>
      <c r="D1297" s="562">
        <v>6900</v>
      </c>
      <c r="E1297" s="563">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2"/>
      <c r="B1298" s="562"/>
      <c r="C1298" s="562"/>
      <c r="D1298" s="562"/>
      <c r="E1298" s="563"/>
    </row>
    <row r="1299" spans="1:5" x14ac:dyDescent="0.2">
      <c r="A1299" s="564" t="s">
        <v>1006</v>
      </c>
      <c r="B1299" s="562" t="s">
        <v>1007</v>
      </c>
      <c r="C1299" s="562">
        <v>2600</v>
      </c>
      <c r="D1299" s="571">
        <v>6700</v>
      </c>
      <c r="E1299" s="563">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4"/>
      <c r="B1300" s="562"/>
      <c r="C1300" s="562"/>
      <c r="D1300" s="571"/>
      <c r="E1300" s="563"/>
    </row>
    <row r="1301" spans="1:5" x14ac:dyDescent="0.2">
      <c r="A1301" s="564"/>
      <c r="B1301" s="562"/>
      <c r="C1301" s="562"/>
      <c r="D1301" s="571"/>
      <c r="E1301" s="563"/>
    </row>
    <row r="1302" spans="1:5" x14ac:dyDescent="0.2">
      <c r="A1302" s="565" t="s">
        <v>1109</v>
      </c>
      <c r="B1302" s="565"/>
      <c r="C1302" s="565"/>
      <c r="D1302" s="565"/>
      <c r="E1302" s="567">
        <f>(E1292-E1293-E1294)-((E1295+E1296)-(E1297+E1298))-(E1299+E1300+E1301)</f>
        <v>0</v>
      </c>
    </row>
    <row r="1303" spans="1:5" x14ac:dyDescent="0.2">
      <c r="A1303" s="562" t="s">
        <v>1005</v>
      </c>
      <c r="B1303" s="562" t="s">
        <v>1007</v>
      </c>
      <c r="C1303" s="562">
        <v>3100</v>
      </c>
      <c r="D1303" s="562">
        <v>6000</v>
      </c>
      <c r="E1303" s="563">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2" t="s">
        <v>1005</v>
      </c>
      <c r="B1304" s="562" t="s">
        <v>1007</v>
      </c>
      <c r="C1304" s="562">
        <v>3100</v>
      </c>
      <c r="D1304" s="562">
        <v>6900</v>
      </c>
      <c r="E1304" s="563">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2" t="s">
        <v>1005</v>
      </c>
      <c r="B1305" s="562" t="s">
        <v>1007</v>
      </c>
      <c r="C1305" s="562">
        <v>3100</v>
      </c>
      <c r="D1305" s="571">
        <v>6700</v>
      </c>
      <c r="E1305" s="563">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4" t="s">
        <v>1006</v>
      </c>
      <c r="B1306" s="562" t="s">
        <v>1007</v>
      </c>
      <c r="C1306" s="562">
        <v>3100</v>
      </c>
      <c r="D1306" s="562">
        <v>6000</v>
      </c>
      <c r="E1306" s="563">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2"/>
      <c r="B1307" s="562"/>
      <c r="C1307" s="562"/>
      <c r="D1307" s="562"/>
      <c r="E1307" s="563"/>
    </row>
    <row r="1308" spans="1:5" x14ac:dyDescent="0.2">
      <c r="A1308" s="564" t="s">
        <v>1006</v>
      </c>
      <c r="B1308" s="562" t="s">
        <v>1007</v>
      </c>
      <c r="C1308" s="562">
        <v>3100</v>
      </c>
      <c r="D1308" s="562">
        <v>6900</v>
      </c>
      <c r="E1308" s="563">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2"/>
      <c r="B1309" s="562"/>
      <c r="C1309" s="562"/>
      <c r="D1309" s="562"/>
      <c r="E1309" s="563"/>
    </row>
    <row r="1310" spans="1:5" x14ac:dyDescent="0.2">
      <c r="A1310" s="564" t="s">
        <v>1006</v>
      </c>
      <c r="B1310" s="562" t="s">
        <v>1007</v>
      </c>
      <c r="C1310" s="562">
        <v>3100</v>
      </c>
      <c r="D1310" s="571">
        <v>6700</v>
      </c>
      <c r="E1310" s="563">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4"/>
      <c r="B1311" s="562"/>
      <c r="C1311" s="562"/>
      <c r="D1311" s="571"/>
      <c r="E1311" s="563"/>
    </row>
    <row r="1312" spans="1:5" x14ac:dyDescent="0.2">
      <c r="A1312" s="564"/>
      <c r="B1312" s="562"/>
      <c r="C1312" s="562"/>
      <c r="D1312" s="571"/>
      <c r="E1312" s="563"/>
    </row>
    <row r="1313" spans="1:5" x14ac:dyDescent="0.2">
      <c r="A1313" s="565" t="s">
        <v>1110</v>
      </c>
      <c r="B1313" s="565"/>
      <c r="C1313" s="565"/>
      <c r="D1313" s="565"/>
      <c r="E1313" s="567">
        <f>(E1303-E1304-E1305)-((E1306+E1307)-(E1308+E1309))-(E1310+E1311+E1312)</f>
        <v>0</v>
      </c>
    </row>
    <row r="1314" spans="1:5" x14ac:dyDescent="0.2">
      <c r="A1314" s="562"/>
      <c r="B1314" s="562"/>
      <c r="C1314" s="562"/>
      <c r="D1314" s="562"/>
      <c r="E1314" s="563"/>
    </row>
    <row r="1315" spans="1:5" x14ac:dyDescent="0.2">
      <c r="A1315" s="562"/>
      <c r="B1315" s="562"/>
      <c r="C1315" s="562"/>
      <c r="D1315" s="562"/>
      <c r="E1315" s="563"/>
    </row>
    <row r="1316" spans="1:5" x14ac:dyDescent="0.2">
      <c r="A1316" s="562"/>
      <c r="B1316" s="562"/>
      <c r="C1316" s="562"/>
      <c r="D1316" s="571"/>
      <c r="E1316" s="563"/>
    </row>
    <row r="1317" spans="1:5" x14ac:dyDescent="0.2">
      <c r="A1317" s="564"/>
      <c r="B1317" s="562"/>
      <c r="C1317" s="562"/>
      <c r="D1317" s="562"/>
      <c r="E1317" s="563"/>
    </row>
    <row r="1318" spans="1:5" x14ac:dyDescent="0.2">
      <c r="A1318" s="562"/>
      <c r="B1318" s="562"/>
      <c r="C1318" s="562"/>
      <c r="D1318" s="562"/>
      <c r="E1318" s="563"/>
    </row>
    <row r="1319" spans="1:5" x14ac:dyDescent="0.2">
      <c r="A1319" s="564"/>
      <c r="B1319" s="562"/>
      <c r="C1319" s="562"/>
      <c r="D1319" s="562"/>
      <c r="E1319" s="563"/>
    </row>
    <row r="1320" spans="1:5" x14ac:dyDescent="0.2">
      <c r="A1320" s="562"/>
      <c r="B1320" s="562"/>
      <c r="C1320" s="562"/>
      <c r="D1320" s="562"/>
      <c r="E1320" s="563"/>
    </row>
    <row r="1321" spans="1:5" x14ac:dyDescent="0.2">
      <c r="A1321" s="564"/>
      <c r="B1321" s="562"/>
      <c r="C1321" s="562"/>
      <c r="D1321" s="571"/>
      <c r="E1321" s="563"/>
    </row>
    <row r="1322" spans="1:5" x14ac:dyDescent="0.2">
      <c r="A1322" s="564"/>
      <c r="B1322" s="562"/>
      <c r="C1322" s="562"/>
      <c r="D1322" s="571"/>
      <c r="E1322" s="563"/>
    </row>
    <row r="1323" spans="1:5" x14ac:dyDescent="0.2">
      <c r="A1323" s="564"/>
      <c r="B1323" s="562"/>
      <c r="C1323" s="562"/>
      <c r="D1323" s="571"/>
      <c r="E1323" s="563"/>
    </row>
    <row r="1324" spans="1:5" x14ac:dyDescent="0.2">
      <c r="A1324" s="565"/>
      <c r="B1324" s="565"/>
      <c r="C1324" s="565"/>
      <c r="D1324" s="565"/>
      <c r="E1324" s="567"/>
    </row>
    <row r="1325" spans="1:5" x14ac:dyDescent="0.2">
      <c r="A1325" s="562" t="s">
        <v>1005</v>
      </c>
      <c r="B1325" s="562" t="s">
        <v>1007</v>
      </c>
      <c r="C1325" s="562">
        <v>3300</v>
      </c>
      <c r="D1325" s="562">
        <v>6000</v>
      </c>
      <c r="E1325" s="563">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62" t="s">
        <v>1005</v>
      </c>
      <c r="B1326" s="562" t="s">
        <v>1007</v>
      </c>
      <c r="C1326" s="562">
        <v>3300</v>
      </c>
      <c r="D1326" s="562">
        <v>6900</v>
      </c>
      <c r="E1326" s="563">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2" t="s">
        <v>1005</v>
      </c>
      <c r="B1327" s="562" t="s">
        <v>1007</v>
      </c>
      <c r="C1327" s="562">
        <v>3300</v>
      </c>
      <c r="D1327" s="571">
        <v>6700</v>
      </c>
      <c r="E1327" s="563">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4" t="s">
        <v>1006</v>
      </c>
      <c r="B1328" s="562" t="s">
        <v>1007</v>
      </c>
      <c r="C1328" s="562">
        <v>3300</v>
      </c>
      <c r="D1328" s="562">
        <v>6000</v>
      </c>
      <c r="E1328" s="563">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2"/>
      <c r="B1329" s="562"/>
      <c r="C1329" s="562"/>
      <c r="D1329" s="562"/>
      <c r="E1329" s="563"/>
    </row>
    <row r="1330" spans="1:5" x14ac:dyDescent="0.2">
      <c r="A1330" s="564" t="s">
        <v>1006</v>
      </c>
      <c r="B1330" s="562" t="s">
        <v>1007</v>
      </c>
      <c r="C1330" s="562">
        <v>3300</v>
      </c>
      <c r="D1330" s="562">
        <v>6900</v>
      </c>
      <c r="E1330" s="563">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2"/>
      <c r="B1331" s="562"/>
      <c r="C1331" s="562"/>
      <c r="D1331" s="562"/>
      <c r="E1331" s="563"/>
    </row>
    <row r="1332" spans="1:5" x14ac:dyDescent="0.2">
      <c r="A1332" s="564" t="s">
        <v>1006</v>
      </c>
      <c r="B1332" s="562" t="s">
        <v>1007</v>
      </c>
      <c r="C1332" s="562">
        <v>3300</v>
      </c>
      <c r="D1332" s="571">
        <v>6700</v>
      </c>
      <c r="E1332" s="563">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4"/>
      <c r="B1333" s="562"/>
      <c r="C1333" s="562"/>
      <c r="D1333" s="571"/>
      <c r="E1333" s="563"/>
    </row>
    <row r="1334" spans="1:5" x14ac:dyDescent="0.2">
      <c r="A1334" s="564"/>
      <c r="B1334" s="562"/>
      <c r="C1334" s="562"/>
      <c r="D1334" s="571"/>
      <c r="E1334" s="563"/>
    </row>
    <row r="1335" spans="1:5" x14ac:dyDescent="0.2">
      <c r="A1335" s="565" t="s">
        <v>1111</v>
      </c>
      <c r="B1335" s="565"/>
      <c r="C1335" s="565"/>
      <c r="D1335" s="565"/>
      <c r="E1335" s="567">
        <f>(E1325-E1326-E1327)-((E1328+E1329)-(E1330+E1331))-(E1332+E1333+E1334)</f>
        <v>0</v>
      </c>
    </row>
    <row r="1336" spans="1:5" x14ac:dyDescent="0.2">
      <c r="A1336" s="562" t="s">
        <v>1005</v>
      </c>
      <c r="B1336" s="562" t="s">
        <v>1007</v>
      </c>
      <c r="C1336" s="562">
        <v>3400</v>
      </c>
      <c r="D1336" s="562">
        <v>6000</v>
      </c>
      <c r="E1336" s="563">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2" t="s">
        <v>1005</v>
      </c>
      <c r="B1337" s="562" t="s">
        <v>1007</v>
      </c>
      <c r="C1337" s="562">
        <v>3400</v>
      </c>
      <c r="D1337" s="562">
        <v>6900</v>
      </c>
      <c r="E1337" s="563">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2" t="s">
        <v>1005</v>
      </c>
      <c r="B1338" s="562" t="s">
        <v>1007</v>
      </c>
      <c r="C1338" s="562">
        <v>3400</v>
      </c>
      <c r="D1338" s="571">
        <v>6700</v>
      </c>
      <c r="E1338" s="563">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4" t="s">
        <v>1006</v>
      </c>
      <c r="B1339" s="562" t="s">
        <v>1007</v>
      </c>
      <c r="C1339" s="562">
        <v>3400</v>
      </c>
      <c r="D1339" s="562">
        <v>6000</v>
      </c>
      <c r="E1339" s="563">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2"/>
      <c r="B1340" s="562"/>
      <c r="C1340" s="562"/>
      <c r="D1340" s="562"/>
      <c r="E1340" s="563"/>
    </row>
    <row r="1341" spans="1:5" x14ac:dyDescent="0.2">
      <c r="A1341" s="564" t="s">
        <v>1006</v>
      </c>
      <c r="B1341" s="562" t="s">
        <v>1007</v>
      </c>
      <c r="C1341" s="562">
        <v>3400</v>
      </c>
      <c r="D1341" s="562">
        <v>6900</v>
      </c>
      <c r="E1341" s="563">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2"/>
      <c r="B1342" s="562"/>
      <c r="C1342" s="562"/>
      <c r="D1342" s="562"/>
      <c r="E1342" s="563"/>
    </row>
    <row r="1343" spans="1:5" x14ac:dyDescent="0.2">
      <c r="A1343" s="564" t="s">
        <v>1006</v>
      </c>
      <c r="B1343" s="562" t="s">
        <v>1007</v>
      </c>
      <c r="C1343" s="562">
        <v>3400</v>
      </c>
      <c r="D1343" s="571">
        <v>6700</v>
      </c>
      <c r="E1343" s="563">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4"/>
      <c r="B1344" s="562"/>
      <c r="C1344" s="562"/>
      <c r="D1344" s="571"/>
      <c r="E1344" s="563"/>
    </row>
    <row r="1345" spans="1:5" x14ac:dyDescent="0.2">
      <c r="A1345" s="564"/>
      <c r="B1345" s="562"/>
      <c r="C1345" s="562"/>
      <c r="D1345" s="571"/>
      <c r="E1345" s="563"/>
    </row>
    <row r="1346" spans="1:5" x14ac:dyDescent="0.2">
      <c r="A1346" s="565" t="s">
        <v>1112</v>
      </c>
      <c r="B1346" s="565"/>
      <c r="C1346" s="565"/>
      <c r="D1346" s="565"/>
      <c r="E1346" s="567">
        <f>(E1336-E1337-E1338)-((E1339+E1340)-(E1341+E1342))-(E1343+E1344+E1345)</f>
        <v>0</v>
      </c>
    </row>
    <row r="1347" spans="1:5" x14ac:dyDescent="0.2">
      <c r="A1347" s="562" t="s">
        <v>1005</v>
      </c>
      <c r="B1347" s="562" t="s">
        <v>1007</v>
      </c>
      <c r="C1347" s="562">
        <v>4000</v>
      </c>
      <c r="D1347" s="562">
        <v>6000</v>
      </c>
      <c r="E1347" s="563">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2" t="s">
        <v>1005</v>
      </c>
      <c r="B1348" s="562" t="s">
        <v>1007</v>
      </c>
      <c r="C1348" s="562">
        <v>4000</v>
      </c>
      <c r="D1348" s="562">
        <v>6900</v>
      </c>
      <c r="E1348" s="563">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2" t="s">
        <v>1005</v>
      </c>
      <c r="B1349" s="562" t="s">
        <v>1007</v>
      </c>
      <c r="C1349" s="562">
        <v>4000</v>
      </c>
      <c r="D1349" s="571">
        <v>6700</v>
      </c>
      <c r="E1349" s="563">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4" t="s">
        <v>1006</v>
      </c>
      <c r="B1350" s="562" t="s">
        <v>1007</v>
      </c>
      <c r="C1350" s="562">
        <v>4000</v>
      </c>
      <c r="D1350" s="562">
        <v>6000</v>
      </c>
      <c r="E1350" s="563">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2"/>
      <c r="B1351" s="562"/>
      <c r="C1351" s="562"/>
      <c r="D1351" s="562"/>
      <c r="E1351" s="563"/>
    </row>
    <row r="1352" spans="1:5" x14ac:dyDescent="0.2">
      <c r="A1352" s="564" t="s">
        <v>1006</v>
      </c>
      <c r="B1352" s="562" t="s">
        <v>1007</v>
      </c>
      <c r="C1352" s="562">
        <v>4000</v>
      </c>
      <c r="D1352" s="562">
        <v>6900</v>
      </c>
      <c r="E1352" s="563">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2"/>
      <c r="B1353" s="562"/>
      <c r="C1353" s="562"/>
      <c r="D1353" s="562"/>
      <c r="E1353" s="563"/>
    </row>
    <row r="1354" spans="1:5" x14ac:dyDescent="0.2">
      <c r="A1354" s="564" t="s">
        <v>1006</v>
      </c>
      <c r="B1354" s="562" t="s">
        <v>1007</v>
      </c>
      <c r="C1354" s="562">
        <v>4000</v>
      </c>
      <c r="D1354" s="571">
        <v>6700</v>
      </c>
      <c r="E1354" s="563">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4"/>
      <c r="B1355" s="562"/>
      <c r="C1355" s="562"/>
      <c r="D1355" s="571"/>
      <c r="E1355" s="563"/>
    </row>
    <row r="1356" spans="1:5" x14ac:dyDescent="0.2">
      <c r="A1356" s="564"/>
      <c r="B1356" s="562"/>
      <c r="C1356" s="562"/>
      <c r="D1356" s="571"/>
      <c r="E1356" s="563"/>
    </row>
    <row r="1357" spans="1:5" x14ac:dyDescent="0.2">
      <c r="A1357" s="565" t="s">
        <v>1113</v>
      </c>
      <c r="B1357" s="565"/>
      <c r="C1357" s="565"/>
      <c r="D1357" s="565"/>
      <c r="E1357" s="567">
        <f>(E1347-E1348-E1349)-((E1350+E1351)-(E1352+E1353))-(E1354+E1355+E1356)</f>
        <v>0</v>
      </c>
    </row>
    <row r="1358" spans="1:5" x14ac:dyDescent="0.2">
      <c r="A1358" s="562" t="s">
        <v>1005</v>
      </c>
      <c r="B1358" s="562" t="s">
        <v>1007</v>
      </c>
      <c r="C1358" s="562">
        <v>5000</v>
      </c>
      <c r="D1358" s="562">
        <v>6000</v>
      </c>
      <c r="E1358" s="563">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2" t="s">
        <v>1005</v>
      </c>
      <c r="B1359" s="562" t="s">
        <v>1007</v>
      </c>
      <c r="C1359" s="562">
        <v>5000</v>
      </c>
      <c r="D1359" s="562">
        <v>6900</v>
      </c>
      <c r="E1359" s="563">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2" t="s">
        <v>1005</v>
      </c>
      <c r="B1360" s="562" t="s">
        <v>1007</v>
      </c>
      <c r="C1360" s="562">
        <v>5000</v>
      </c>
      <c r="D1360" s="571">
        <v>6700</v>
      </c>
      <c r="E1360" s="563">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4" t="s">
        <v>1006</v>
      </c>
      <c r="B1361" s="562" t="s">
        <v>1007</v>
      </c>
      <c r="C1361" s="562">
        <v>5000</v>
      </c>
      <c r="D1361" s="562">
        <v>6000</v>
      </c>
      <c r="E1361" s="563">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2"/>
      <c r="B1362" s="562"/>
      <c r="C1362" s="562"/>
      <c r="D1362" s="562"/>
      <c r="E1362" s="563"/>
    </row>
    <row r="1363" spans="1:5" x14ac:dyDescent="0.2">
      <c r="A1363" s="564" t="s">
        <v>1006</v>
      </c>
      <c r="B1363" s="562" t="s">
        <v>1007</v>
      </c>
      <c r="C1363" s="562">
        <v>5000</v>
      </c>
      <c r="D1363" s="562">
        <v>6900</v>
      </c>
      <c r="E1363" s="563">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2"/>
      <c r="B1364" s="562"/>
      <c r="C1364" s="562"/>
      <c r="D1364" s="562"/>
      <c r="E1364" s="563"/>
    </row>
    <row r="1365" spans="1:5" x14ac:dyDescent="0.2">
      <c r="A1365" s="564" t="s">
        <v>1006</v>
      </c>
      <c r="B1365" s="562" t="s">
        <v>1007</v>
      </c>
      <c r="C1365" s="562">
        <v>5000</v>
      </c>
      <c r="D1365" s="571">
        <v>6700</v>
      </c>
      <c r="E1365" s="563">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4"/>
      <c r="B1366" s="562"/>
      <c r="C1366" s="562"/>
      <c r="D1366" s="571"/>
      <c r="E1366" s="563"/>
    </row>
    <row r="1367" spans="1:5" x14ac:dyDescent="0.2">
      <c r="A1367" s="564"/>
      <c r="B1367" s="562"/>
      <c r="C1367" s="562"/>
      <c r="D1367" s="571"/>
      <c r="E1367" s="563"/>
    </row>
    <row r="1368" spans="1:5" x14ac:dyDescent="0.2">
      <c r="A1368" s="565" t="s">
        <v>1114</v>
      </c>
      <c r="B1368" s="565"/>
      <c r="C1368" s="565"/>
      <c r="D1368" s="565"/>
      <c r="E1368" s="567">
        <f>(E1358-E1359-E1360)-((E1361+E1362)-(E1363+E1364))-(E1365+E1366+E1367)</f>
        <v>0</v>
      </c>
    </row>
    <row r="1369" spans="1:5" x14ac:dyDescent="0.2">
      <c r="A1369" s="568" t="s">
        <v>1115</v>
      </c>
      <c r="B1369" s="568"/>
      <c r="C1369" s="568"/>
      <c r="D1369" s="568"/>
      <c r="E1369" s="572">
        <f>E1225+E1236+E1247+E1258+E1269+E1280+E1291+E1302+E1313+E1324+E1335+E1346</f>
        <v>0</v>
      </c>
    </row>
    <row r="1370" spans="1:5" x14ac:dyDescent="0.2">
      <c r="A1370" s="564" t="s">
        <v>1021</v>
      </c>
      <c r="B1370" s="564">
        <v>700</v>
      </c>
      <c r="C1370" s="571">
        <v>1000</v>
      </c>
      <c r="D1370" s="562">
        <v>6000</v>
      </c>
      <c r="E1370" s="563">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4" t="s">
        <v>1021</v>
      </c>
      <c r="B1371" s="564">
        <v>800</v>
      </c>
      <c r="C1371" s="571">
        <v>1000</v>
      </c>
      <c r="D1371" s="562">
        <v>6000</v>
      </c>
      <c r="E1371" s="563">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4" t="s">
        <v>1021</v>
      </c>
      <c r="B1372" s="564">
        <v>900</v>
      </c>
      <c r="C1372" s="571">
        <v>1000</v>
      </c>
      <c r="D1372" s="562">
        <v>6000</v>
      </c>
      <c r="E1372" s="563">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4" t="s">
        <v>1021</v>
      </c>
      <c r="B1373" s="564">
        <v>700</v>
      </c>
      <c r="C1373" s="571">
        <v>2000</v>
      </c>
      <c r="D1373" s="562">
        <v>6000</v>
      </c>
      <c r="E1373" s="563">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4" t="s">
        <v>1021</v>
      </c>
      <c r="B1374" s="564">
        <v>800</v>
      </c>
      <c r="C1374" s="571">
        <v>2000</v>
      </c>
      <c r="D1374" s="562">
        <v>6000</v>
      </c>
      <c r="E1374" s="563">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4" t="s">
        <v>1021</v>
      </c>
      <c r="B1375" s="564">
        <v>900</v>
      </c>
      <c r="C1375" s="571">
        <v>2000</v>
      </c>
      <c r="D1375" s="562">
        <v>6000</v>
      </c>
      <c r="E1375" s="563">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4" t="s">
        <v>1021</v>
      </c>
      <c r="B1376" s="564">
        <v>700</v>
      </c>
      <c r="C1376" s="571">
        <v>3000</v>
      </c>
      <c r="D1376" s="562">
        <v>6000</v>
      </c>
      <c r="E1376" s="563">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4" t="s">
        <v>1021</v>
      </c>
      <c r="B1377" s="564">
        <v>800</v>
      </c>
      <c r="C1377" s="571">
        <v>3000</v>
      </c>
      <c r="D1377" s="562">
        <v>6000</v>
      </c>
      <c r="E1377" s="563">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4" t="s">
        <v>1021</v>
      </c>
      <c r="B1378" s="564">
        <v>900</v>
      </c>
      <c r="C1378" s="571">
        <v>3000</v>
      </c>
      <c r="D1378" s="562">
        <v>6000</v>
      </c>
      <c r="E1378" s="563">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4" t="s">
        <v>1021</v>
      </c>
      <c r="B1379" s="564">
        <v>700</v>
      </c>
      <c r="C1379" s="571">
        <v>1000</v>
      </c>
      <c r="D1379" s="562">
        <v>6900</v>
      </c>
      <c r="E1379" s="563">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4" t="s">
        <v>1021</v>
      </c>
      <c r="B1380" s="564">
        <v>800</v>
      </c>
      <c r="C1380" s="571">
        <v>1000</v>
      </c>
      <c r="D1380" s="562">
        <v>6900</v>
      </c>
      <c r="E1380" s="563">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4" t="s">
        <v>1021</v>
      </c>
      <c r="B1381" s="564">
        <v>900</v>
      </c>
      <c r="C1381" s="571">
        <v>1000</v>
      </c>
      <c r="D1381" s="562">
        <v>6900</v>
      </c>
      <c r="E1381" s="563">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4" t="s">
        <v>1021</v>
      </c>
      <c r="B1382" s="564">
        <v>700</v>
      </c>
      <c r="C1382" s="571">
        <v>2000</v>
      </c>
      <c r="D1382" s="562">
        <v>6900</v>
      </c>
      <c r="E1382" s="563">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4" t="s">
        <v>1021</v>
      </c>
      <c r="B1383" s="564">
        <v>800</v>
      </c>
      <c r="C1383" s="571">
        <v>2000</v>
      </c>
      <c r="D1383" s="562">
        <v>6900</v>
      </c>
      <c r="E1383" s="563">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4" t="s">
        <v>1021</v>
      </c>
      <c r="B1384" s="564">
        <v>900</v>
      </c>
      <c r="C1384" s="571">
        <v>2000</v>
      </c>
      <c r="D1384" s="562">
        <v>6900</v>
      </c>
      <c r="E1384" s="563">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4" t="s">
        <v>1021</v>
      </c>
      <c r="B1385" s="564">
        <v>700</v>
      </c>
      <c r="C1385" s="571">
        <v>3000</v>
      </c>
      <c r="D1385" s="562">
        <v>6900</v>
      </c>
      <c r="E1385" s="563">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4" t="s">
        <v>1021</v>
      </c>
      <c r="B1386" s="564">
        <v>800</v>
      </c>
      <c r="C1386" s="571">
        <v>3000</v>
      </c>
      <c r="D1386" s="562">
        <v>6900</v>
      </c>
      <c r="E1386" s="563">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4" t="s">
        <v>1021</v>
      </c>
      <c r="B1387" s="564">
        <v>900</v>
      </c>
      <c r="C1387" s="571">
        <v>3000</v>
      </c>
      <c r="D1387" s="562">
        <v>6900</v>
      </c>
      <c r="E1387" s="563">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5" t="s">
        <v>1116</v>
      </c>
      <c r="B1388" s="565"/>
      <c r="C1388" s="565"/>
      <c r="D1388" s="565"/>
      <c r="E1388" s="567">
        <f>(E1370+E1371+E1372+E1373+E1374+E1375+E1376+E1377+E1378)-(E1379+E1380+E1381+E1382+E1383+E1384+E1385+E1386+E1387)</f>
        <v>0</v>
      </c>
    </row>
    <row r="1389" spans="1:5" x14ac:dyDescent="0.2">
      <c r="A1389" s="575"/>
      <c r="B1389" s="575"/>
      <c r="C1389" s="575"/>
      <c r="D1389" s="575"/>
      <c r="E1389" s="576"/>
    </row>
    <row r="1390" spans="1:5" x14ac:dyDescent="0.2">
      <c r="A1390" s="575"/>
      <c r="B1390" s="575"/>
      <c r="C1390" s="575"/>
      <c r="D1390" s="575"/>
      <c r="E1390" s="576"/>
    </row>
    <row r="1391" spans="1:5" x14ac:dyDescent="0.2">
      <c r="A1391" s="575"/>
      <c r="B1391" s="575"/>
      <c r="C1391" s="575"/>
      <c r="D1391" s="575"/>
      <c r="E1391" s="576"/>
    </row>
    <row r="1392" spans="1:5" x14ac:dyDescent="0.2">
      <c r="A1392" s="575"/>
      <c r="B1392" s="575"/>
      <c r="C1392" s="575"/>
      <c r="D1392" s="575"/>
      <c r="E1392" s="576"/>
    </row>
    <row r="1393" spans="1:5" x14ac:dyDescent="0.2">
      <c r="A1393" s="575"/>
      <c r="B1393" s="575"/>
      <c r="C1393" s="575"/>
      <c r="D1393" s="577"/>
      <c r="E1393" s="576"/>
    </row>
    <row r="1394" spans="1:5" x14ac:dyDescent="0.2">
      <c r="A1394" s="575"/>
      <c r="B1394" s="575"/>
      <c r="C1394" s="575"/>
      <c r="D1394" s="575"/>
      <c r="E1394" s="576"/>
    </row>
    <row r="1395" spans="1:5" x14ac:dyDescent="0.2">
      <c r="A1395" s="575"/>
      <c r="B1395" s="575"/>
      <c r="C1395" s="575"/>
      <c r="D1395" s="575"/>
      <c r="E1395" s="576"/>
    </row>
    <row r="1396" spans="1:5" x14ac:dyDescent="0.2">
      <c r="A1396" s="575"/>
      <c r="B1396" s="575"/>
      <c r="C1396" s="575"/>
      <c r="D1396" s="575"/>
      <c r="E1396" s="576"/>
    </row>
    <row r="1397" spans="1:5" x14ac:dyDescent="0.2">
      <c r="A1397" s="575"/>
      <c r="B1397" s="575"/>
      <c r="C1397" s="575"/>
      <c r="D1397" s="575"/>
      <c r="E1397" s="576"/>
    </row>
    <row r="1398" spans="1:5" x14ac:dyDescent="0.2">
      <c r="A1398" s="575"/>
      <c r="B1398" s="575"/>
      <c r="C1398" s="575"/>
      <c r="D1398" s="575"/>
      <c r="E1398" s="576"/>
    </row>
    <row r="1399" spans="1:5" x14ac:dyDescent="0.2">
      <c r="A1399" s="575"/>
      <c r="B1399" s="575"/>
      <c r="C1399" s="575"/>
      <c r="D1399" s="578"/>
      <c r="E1399" s="576"/>
    </row>
    <row r="1400" spans="1:5" x14ac:dyDescent="0.2">
      <c r="A1400" s="575"/>
      <c r="B1400" s="575"/>
      <c r="C1400" s="575"/>
      <c r="D1400" s="575"/>
      <c r="E1400" s="576"/>
    </row>
    <row r="1401" spans="1:5" x14ac:dyDescent="0.2">
      <c r="A1401" s="575"/>
      <c r="B1401" s="575"/>
      <c r="C1401" s="575"/>
      <c r="D1401" s="575"/>
      <c r="E1401" s="576"/>
    </row>
    <row r="1402" spans="1:5" x14ac:dyDescent="0.2">
      <c r="A1402" s="575"/>
      <c r="B1402" s="575"/>
      <c r="C1402" s="575"/>
      <c r="D1402" s="575"/>
      <c r="E1402" s="576"/>
    </row>
    <row r="1403" spans="1:5" x14ac:dyDescent="0.2">
      <c r="A1403" s="575"/>
      <c r="B1403" s="575"/>
      <c r="C1403" s="575"/>
      <c r="D1403" s="575"/>
      <c r="E1403" s="576"/>
    </row>
    <row r="1404" spans="1:5" x14ac:dyDescent="0.2">
      <c r="A1404" s="575"/>
      <c r="B1404" s="575"/>
      <c r="C1404" s="575"/>
      <c r="D1404" s="575"/>
      <c r="E1404" s="576"/>
    </row>
    <row r="1405" spans="1:5" x14ac:dyDescent="0.2">
      <c r="A1405" s="575"/>
      <c r="B1405" s="575"/>
      <c r="C1405" s="575"/>
      <c r="D1405" s="578"/>
      <c r="E1405" s="576"/>
    </row>
    <row r="1406" spans="1:5" x14ac:dyDescent="0.2">
      <c r="A1406" s="575"/>
      <c r="B1406" s="575"/>
      <c r="C1406" s="575"/>
      <c r="D1406" s="575"/>
      <c r="E1406" s="576"/>
    </row>
    <row r="1407" spans="1:5" x14ac:dyDescent="0.2">
      <c r="A1407" s="575"/>
      <c r="B1407" s="575"/>
      <c r="C1407" s="575"/>
      <c r="D1407" s="575"/>
      <c r="E1407" s="576"/>
    </row>
    <row r="1408" spans="1:5" x14ac:dyDescent="0.2">
      <c r="A1408" s="575"/>
      <c r="B1408" s="575"/>
      <c r="C1408" s="575"/>
      <c r="D1408" s="575"/>
      <c r="E1408" s="576"/>
    </row>
    <row r="1409" spans="1:5" x14ac:dyDescent="0.2">
      <c r="A1409" s="575"/>
      <c r="B1409" s="575"/>
      <c r="C1409" s="575"/>
      <c r="D1409" s="575"/>
      <c r="E1409" s="576"/>
    </row>
    <row r="1410" spans="1:5" x14ac:dyDescent="0.2">
      <c r="A1410" s="575"/>
      <c r="B1410" s="575"/>
      <c r="C1410" s="575"/>
      <c r="D1410" s="575"/>
      <c r="E1410" s="576"/>
    </row>
    <row r="1411" spans="1:5" x14ac:dyDescent="0.2">
      <c r="A1411" s="575"/>
      <c r="B1411" s="575"/>
      <c r="C1411" s="575"/>
      <c r="D1411" s="578"/>
      <c r="E1411" s="576"/>
    </row>
    <row r="1412" spans="1:5" x14ac:dyDescent="0.2">
      <c r="A1412" s="575"/>
      <c r="B1412" s="575"/>
      <c r="C1412" s="575"/>
      <c r="D1412" s="575"/>
      <c r="E1412" s="576"/>
    </row>
    <row r="1413" spans="1:5" x14ac:dyDescent="0.2">
      <c r="A1413" s="575"/>
      <c r="B1413" s="575"/>
      <c r="C1413" s="575"/>
      <c r="D1413" s="575"/>
      <c r="E1413" s="576"/>
    </row>
    <row r="1414" spans="1:5" x14ac:dyDescent="0.2">
      <c r="A1414" s="575"/>
      <c r="B1414" s="575"/>
      <c r="C1414" s="575"/>
      <c r="D1414" s="575"/>
      <c r="E1414" s="576"/>
    </row>
    <row r="1415" spans="1:5" x14ac:dyDescent="0.2">
      <c r="A1415" s="575"/>
      <c r="B1415" s="575"/>
      <c r="C1415" s="575"/>
      <c r="D1415" s="575"/>
      <c r="E1415" s="576"/>
    </row>
    <row r="1416" spans="1:5" x14ac:dyDescent="0.2">
      <c r="A1416" s="575"/>
      <c r="B1416" s="575"/>
      <c r="C1416" s="575"/>
      <c r="D1416" s="575"/>
      <c r="E1416" s="576"/>
    </row>
    <row r="1417" spans="1:5" x14ac:dyDescent="0.2">
      <c r="A1417" s="575"/>
      <c r="B1417" s="575"/>
      <c r="C1417" s="575"/>
      <c r="D1417" s="578"/>
      <c r="E1417" s="576"/>
    </row>
    <row r="1418" spans="1:5" x14ac:dyDescent="0.2">
      <c r="A1418" s="575"/>
      <c r="B1418" s="575"/>
      <c r="C1418" s="575"/>
      <c r="D1418" s="578"/>
      <c r="E1418" s="576"/>
    </row>
    <row r="1419" spans="1:5" x14ac:dyDescent="0.2">
      <c r="A1419" s="575"/>
      <c r="B1419" s="575"/>
      <c r="C1419" s="575"/>
      <c r="D1419" s="578"/>
      <c r="E1419" s="576"/>
    </row>
    <row r="1420" spans="1:5" x14ac:dyDescent="0.2">
      <c r="A1420" s="575"/>
      <c r="B1420" s="575"/>
      <c r="C1420" s="575"/>
      <c r="D1420" s="575"/>
      <c r="E1420" s="576"/>
    </row>
    <row r="1421" spans="1:5" x14ac:dyDescent="0.2">
      <c r="A1421" s="575"/>
      <c r="B1421" s="575"/>
      <c r="C1421" s="575"/>
      <c r="D1421" s="575"/>
      <c r="E1421" s="576"/>
    </row>
    <row r="1422" spans="1:5" x14ac:dyDescent="0.2">
      <c r="A1422" s="575"/>
      <c r="B1422" s="575"/>
      <c r="C1422" s="575"/>
      <c r="D1422" s="575"/>
      <c r="E1422" s="576"/>
    </row>
    <row r="1423" spans="1:5" x14ac:dyDescent="0.2">
      <c r="A1423" s="575"/>
      <c r="B1423" s="575"/>
      <c r="C1423" s="575"/>
      <c r="D1423" s="578"/>
      <c r="E1423" s="576"/>
    </row>
    <row r="1424" spans="1:5" x14ac:dyDescent="0.2">
      <c r="A1424" s="575"/>
      <c r="B1424" s="575"/>
      <c r="C1424" s="575"/>
      <c r="D1424" s="575"/>
      <c r="E1424" s="576"/>
    </row>
    <row r="1425" spans="1:5" x14ac:dyDescent="0.2">
      <c r="A1425" s="575"/>
      <c r="B1425" s="575"/>
      <c r="C1425" s="578"/>
      <c r="D1425" s="578"/>
      <c r="E1425" s="576"/>
    </row>
    <row r="1426" spans="1:5" x14ac:dyDescent="0.2">
      <c r="A1426" s="575"/>
      <c r="B1426" s="575"/>
      <c r="C1426" s="575"/>
      <c r="D1426" s="578"/>
      <c r="E1426" s="576"/>
    </row>
    <row r="1427" spans="1:5" x14ac:dyDescent="0.2">
      <c r="A1427" s="575"/>
      <c r="B1427" s="575"/>
      <c r="C1427" s="578"/>
      <c r="D1427" s="578"/>
      <c r="E1427" s="576"/>
    </row>
    <row r="1428" spans="1:5" x14ac:dyDescent="0.2">
      <c r="A1428" s="575"/>
      <c r="B1428" s="575"/>
      <c r="C1428" s="575"/>
      <c r="D1428" s="578"/>
      <c r="E1428" s="576"/>
    </row>
    <row r="1429" spans="1:5" x14ac:dyDescent="0.2">
      <c r="A1429" s="575"/>
      <c r="B1429" s="575"/>
      <c r="C1429" s="578"/>
      <c r="D1429" s="578"/>
      <c r="E1429" s="576"/>
    </row>
    <row r="1430" spans="1:5" x14ac:dyDescent="0.2">
      <c r="A1430" s="575"/>
      <c r="B1430" s="575"/>
      <c r="C1430" s="578"/>
      <c r="D1430" s="575"/>
      <c r="E1430" s="576"/>
    </row>
    <row r="1431" spans="1:5" x14ac:dyDescent="0.2">
      <c r="A1431" s="575"/>
      <c r="B1431" s="575"/>
      <c r="C1431" s="578"/>
      <c r="D1431" s="575"/>
      <c r="E1431" s="576"/>
    </row>
    <row r="1432" spans="1:5" x14ac:dyDescent="0.2">
      <c r="A1432" s="575"/>
      <c r="B1432" s="575"/>
      <c r="C1432" s="575"/>
      <c r="D1432" s="578"/>
      <c r="E1432" s="576"/>
    </row>
    <row r="1433" spans="1:5" x14ac:dyDescent="0.2">
      <c r="A1433" s="575"/>
      <c r="B1433" s="575"/>
      <c r="C1433" s="575"/>
      <c r="D1433" s="578"/>
      <c r="E1433" s="576"/>
    </row>
    <row r="1434" spans="1:5" x14ac:dyDescent="0.2">
      <c r="A1434" s="575"/>
      <c r="B1434" s="575"/>
      <c r="C1434" s="575"/>
      <c r="D1434" s="578"/>
      <c r="E1434" s="576"/>
    </row>
    <row r="1435" spans="1:5" x14ac:dyDescent="0.2">
      <c r="A1435" s="575"/>
      <c r="B1435" s="575"/>
      <c r="C1435" s="575"/>
      <c r="D1435" s="578"/>
      <c r="E1435" s="576"/>
    </row>
    <row r="1436" spans="1:5" x14ac:dyDescent="0.2">
      <c r="A1436" s="565"/>
      <c r="B1436" s="565"/>
      <c r="C1436" s="565"/>
      <c r="D1436" s="579"/>
      <c r="E1436" s="567"/>
    </row>
    <row r="1437" spans="1:5" x14ac:dyDescent="0.2">
      <c r="A1437" s="562" t="s">
        <v>1117</v>
      </c>
      <c r="B1437" s="562" t="s">
        <v>1005</v>
      </c>
      <c r="C1437" s="562" t="s">
        <v>1005</v>
      </c>
      <c r="D1437" s="562">
        <v>6000</v>
      </c>
      <c r="E1437" s="563">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5" t="s">
        <v>1118</v>
      </c>
      <c r="B1438" s="565"/>
      <c r="C1438" s="565"/>
      <c r="D1438" s="565"/>
      <c r="E1438" s="567">
        <f>E1437</f>
        <v>0</v>
      </c>
    </row>
    <row r="1439" spans="1:5" x14ac:dyDescent="0.2">
      <c r="A1439" s="562"/>
      <c r="B1439" s="562"/>
      <c r="C1439" s="562"/>
      <c r="D1439" s="571"/>
      <c r="E1439" s="563"/>
    </row>
    <row r="1440" spans="1:5" x14ac:dyDescent="0.2">
      <c r="A1440" s="562"/>
      <c r="B1440" s="562"/>
      <c r="C1440" s="562"/>
      <c r="D1440" s="571"/>
      <c r="E1440" s="563"/>
    </row>
    <row r="1441" spans="1:5" x14ac:dyDescent="0.2">
      <c r="A1441" s="580"/>
      <c r="B1441" s="580"/>
      <c r="C1441" s="580"/>
      <c r="D1441" s="580"/>
      <c r="E1441" s="581"/>
    </row>
    <row r="1442" spans="1:5" x14ac:dyDescent="0.2">
      <c r="A1442" s="562"/>
      <c r="B1442" s="562"/>
      <c r="C1442" s="562"/>
      <c r="D1442" s="571"/>
      <c r="E1442" s="562"/>
    </row>
    <row r="1443" spans="1:5" x14ac:dyDescent="0.2">
      <c r="A1443" s="562"/>
      <c r="B1443" s="562"/>
      <c r="C1443" s="562"/>
      <c r="D1443" s="571"/>
      <c r="E1443" s="562"/>
    </row>
    <row r="1444" spans="1:5" x14ac:dyDescent="0.2">
      <c r="A1444" s="580"/>
      <c r="B1444" s="580"/>
      <c r="C1444" s="580"/>
      <c r="D1444" s="580"/>
      <c r="E1444" s="580"/>
    </row>
    <row r="1445" spans="1:5" x14ac:dyDescent="0.2">
      <c r="A1445" s="562" t="s">
        <v>1005</v>
      </c>
      <c r="B1445" s="562" t="s">
        <v>1005</v>
      </c>
      <c r="C1445" s="562">
        <v>5000</v>
      </c>
      <c r="D1445" s="562">
        <v>6850</v>
      </c>
      <c r="E1445" s="563">
        <f>SUMIFS('Accounting data'!$G$2:$G$37000,'Accounting data'!$J$2:$J$37000,"5*",'Accounting data'!$K$2:$K$37000,"685*")</f>
        <v>0</v>
      </c>
    </row>
    <row r="1446" spans="1:5" x14ac:dyDescent="0.2">
      <c r="A1446" s="562" t="s">
        <v>1006</v>
      </c>
      <c r="B1446" s="562" t="s">
        <v>1005</v>
      </c>
      <c r="C1446" s="562">
        <v>5000</v>
      </c>
      <c r="D1446" s="562">
        <v>6850</v>
      </c>
      <c r="E1446" s="563">
        <f>SUMIFS('Accounting data'!$G$2:$G$37000,'Accounting data'!$H$2:$H$37000,"9999*",'Accounting data'!$J$2:$J$37000,"5*",'Accounting data'!$K$2:$K$37000,"685*")</f>
        <v>0</v>
      </c>
    </row>
    <row r="1447" spans="1:5" x14ac:dyDescent="0.2">
      <c r="A1447" s="562" t="s">
        <v>1005</v>
      </c>
      <c r="B1447" s="562" t="s">
        <v>1007</v>
      </c>
      <c r="C1447" s="562">
        <v>5000</v>
      </c>
      <c r="D1447" s="562">
        <v>6850</v>
      </c>
      <c r="E1447" s="563">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4" t="s">
        <v>1006</v>
      </c>
      <c r="B1448" s="562" t="s">
        <v>1007</v>
      </c>
      <c r="C1448" s="562">
        <v>5000</v>
      </c>
      <c r="D1448" s="562">
        <v>6850</v>
      </c>
      <c r="E1448" s="563">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5" t="s">
        <v>1119</v>
      </c>
      <c r="B1449" s="565"/>
      <c r="C1449" s="565"/>
      <c r="D1449" s="565"/>
      <c r="E1449" s="566">
        <f>(E1445-E1446-E1447)+E1448</f>
        <v>0</v>
      </c>
    </row>
    <row r="1450" spans="1:5" x14ac:dyDescent="0.2">
      <c r="A1450" s="562" t="s">
        <v>1005</v>
      </c>
      <c r="B1450" s="562" t="s">
        <v>1005</v>
      </c>
      <c r="C1450" s="562">
        <v>1000</v>
      </c>
      <c r="D1450" s="562">
        <v>6800</v>
      </c>
      <c r="E1450" s="563">
        <f t="array" ref="E1450">SUMIFS('Accounting data'!$G$2:$G$37000,'Accounting data'!$J$2:$J$37000,"1*",'Accounting data'!$K$2:$K$37000,"68*")</f>
        <v>1117845</v>
      </c>
    </row>
    <row r="1451" spans="1:5" x14ac:dyDescent="0.2">
      <c r="A1451" s="562" t="s">
        <v>1006</v>
      </c>
      <c r="B1451" s="562" t="s">
        <v>1005</v>
      </c>
      <c r="C1451" s="562">
        <v>1000</v>
      </c>
      <c r="D1451" s="562">
        <v>6800</v>
      </c>
      <c r="E1451" s="563">
        <f t="array" ref="E1451">SUMIFS('Accounting data'!$G$2:$G$37000,'Accounting data'!$H$2:$H$37000,"9999*",'Accounting data'!$J$2:$J$37000,"1*",'Accounting data'!$K$2:$K$37000,"68*")</f>
        <v>0</v>
      </c>
    </row>
    <row r="1452" spans="1:5" x14ac:dyDescent="0.2">
      <c r="A1452" s="562" t="s">
        <v>1005</v>
      </c>
      <c r="B1452" s="562" t="s">
        <v>1007</v>
      </c>
      <c r="C1452" s="562">
        <v>1000</v>
      </c>
      <c r="D1452" s="562">
        <v>6800</v>
      </c>
      <c r="E1452" s="563">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4" t="s">
        <v>1006</v>
      </c>
      <c r="B1453" s="562" t="s">
        <v>1007</v>
      </c>
      <c r="C1453" s="562">
        <v>1000</v>
      </c>
      <c r="D1453" s="562">
        <v>6800</v>
      </c>
      <c r="E1453" s="563">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5" t="s">
        <v>1120</v>
      </c>
      <c r="B1454" s="565"/>
      <c r="C1454" s="565"/>
      <c r="D1454" s="565"/>
      <c r="E1454" s="566">
        <f>(E1450-E1451-E1452)+E1453</f>
        <v>1117845</v>
      </c>
    </row>
    <row r="1455" spans="1:5" x14ac:dyDescent="0.2">
      <c r="A1455" s="562" t="s">
        <v>1005</v>
      </c>
      <c r="B1455" s="562" t="s">
        <v>1005</v>
      </c>
      <c r="C1455" s="562">
        <v>2100</v>
      </c>
      <c r="D1455" s="562">
        <v>6800</v>
      </c>
      <c r="E1455" s="563">
        <f t="array" ref="E1455">SUMIFS('Accounting data'!$G$2:$G$37000,'Accounting data'!$J$2:$J$37000,"21*",'Accounting data'!$K$2:$K$37000,"68*")</f>
        <v>9160</v>
      </c>
    </row>
    <row r="1456" spans="1:5" x14ac:dyDescent="0.2">
      <c r="A1456" s="562" t="s">
        <v>1006</v>
      </c>
      <c r="B1456" s="562" t="s">
        <v>1005</v>
      </c>
      <c r="C1456" s="562">
        <v>2100</v>
      </c>
      <c r="D1456" s="562">
        <v>6800</v>
      </c>
      <c r="E1456" s="563">
        <f t="array" ref="E1456">SUMIFS('Accounting data'!$G$2:$G$37000,'Accounting data'!$H$2:$H$37000,"9999*",'Accounting data'!$J$2:$J$37000,"21*",'Accounting data'!$K$2:$K$37000,"68*")</f>
        <v>0</v>
      </c>
    </row>
    <row r="1457" spans="1:5" x14ac:dyDescent="0.2">
      <c r="A1457" s="562" t="s">
        <v>1005</v>
      </c>
      <c r="B1457" s="562" t="s">
        <v>1007</v>
      </c>
      <c r="C1457" s="562">
        <v>2100</v>
      </c>
      <c r="D1457" s="562">
        <v>6800</v>
      </c>
      <c r="E1457" s="563">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4" t="s">
        <v>1006</v>
      </c>
      <c r="B1458" s="562" t="s">
        <v>1007</v>
      </c>
      <c r="C1458" s="562">
        <v>2100</v>
      </c>
      <c r="D1458" s="562">
        <v>6800</v>
      </c>
      <c r="E1458" s="563">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5" t="s">
        <v>1121</v>
      </c>
      <c r="B1459" s="565"/>
      <c r="C1459" s="565"/>
      <c r="D1459" s="565"/>
      <c r="E1459" s="566">
        <f>(E1455-E1456-E1457)+E1458</f>
        <v>9160</v>
      </c>
    </row>
    <row r="1460" spans="1:5" x14ac:dyDescent="0.2">
      <c r="A1460" s="562" t="s">
        <v>1005</v>
      </c>
      <c r="B1460" s="562" t="s">
        <v>1005</v>
      </c>
      <c r="C1460" s="562">
        <v>2200</v>
      </c>
      <c r="D1460" s="562">
        <v>6800</v>
      </c>
      <c r="E1460" s="563">
        <f t="array" ref="E1460">SUMIFS('Accounting data'!$G$2:$G$37000,'Accounting data'!$J$2:$J$37000,"22*",'Accounting data'!$K$2:$K$37000,"68*")</f>
        <v>2308</v>
      </c>
    </row>
    <row r="1461" spans="1:5" x14ac:dyDescent="0.2">
      <c r="A1461" s="562" t="s">
        <v>1006</v>
      </c>
      <c r="B1461" s="562" t="s">
        <v>1005</v>
      </c>
      <c r="C1461" s="562">
        <v>2200</v>
      </c>
      <c r="D1461" s="562">
        <v>6800</v>
      </c>
      <c r="E1461" s="563">
        <f t="array" ref="E1461">SUMIFS('Accounting data'!$G$2:$G$37000,'Accounting data'!$H$2:$H$37000,"9999*",'Accounting data'!$J$2:$J$37000,"22*",'Accounting data'!$K$2:$K$37000,"68*")</f>
        <v>0</v>
      </c>
    </row>
    <row r="1462" spans="1:5" x14ac:dyDescent="0.2">
      <c r="A1462" s="562" t="s">
        <v>1005</v>
      </c>
      <c r="B1462" s="562" t="s">
        <v>1007</v>
      </c>
      <c r="C1462" s="562">
        <v>2200</v>
      </c>
      <c r="D1462" s="562">
        <v>6800</v>
      </c>
      <c r="E1462" s="563">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4" t="s">
        <v>1006</v>
      </c>
      <c r="B1463" s="562" t="s">
        <v>1007</v>
      </c>
      <c r="C1463" s="562">
        <v>2200</v>
      </c>
      <c r="D1463" s="562">
        <v>6800</v>
      </c>
      <c r="E1463" s="563">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5" t="s">
        <v>1122</v>
      </c>
      <c r="B1464" s="565"/>
      <c r="C1464" s="565"/>
      <c r="D1464" s="565"/>
      <c r="E1464" s="566">
        <f>(E1460-E1461-E1462)+E1463</f>
        <v>2308</v>
      </c>
    </row>
    <row r="1465" spans="1:5" x14ac:dyDescent="0.2">
      <c r="A1465" s="562" t="s">
        <v>1005</v>
      </c>
      <c r="B1465" s="562" t="s">
        <v>1005</v>
      </c>
      <c r="C1465" s="562">
        <v>2300</v>
      </c>
      <c r="D1465" s="562">
        <v>6800</v>
      </c>
      <c r="E1465" s="563">
        <f t="array" ref="E1465">SUMIFS('Accounting data'!$G$2:$G$37000,'Accounting data'!$J$2:$J$37000,"23*",'Accounting data'!$K$2:$K$37000,"68*")</f>
        <v>8669</v>
      </c>
    </row>
    <row r="1466" spans="1:5" x14ac:dyDescent="0.2">
      <c r="A1466" s="562" t="s">
        <v>1006</v>
      </c>
      <c r="B1466" s="562" t="s">
        <v>1005</v>
      </c>
      <c r="C1466" s="562">
        <v>2300</v>
      </c>
      <c r="D1466" s="562">
        <v>6800</v>
      </c>
      <c r="E1466" s="563">
        <f t="array" ref="E1466">SUMIFS('Accounting data'!$G$2:$G$37000,'Accounting data'!$H$2:$H$37000,"9999*",'Accounting data'!$J$2:$J$37000,"23*",'Accounting data'!$K$2:$K$37000,"68*")</f>
        <v>0</v>
      </c>
    </row>
    <row r="1467" spans="1:5" x14ac:dyDescent="0.2">
      <c r="A1467" s="562" t="s">
        <v>1005</v>
      </c>
      <c r="B1467" s="562" t="s">
        <v>1007</v>
      </c>
      <c r="C1467" s="562">
        <v>2300</v>
      </c>
      <c r="D1467" s="562">
        <v>6800</v>
      </c>
      <c r="E1467" s="563">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4" t="s">
        <v>1006</v>
      </c>
      <c r="B1468" s="562" t="s">
        <v>1007</v>
      </c>
      <c r="C1468" s="562">
        <v>2300</v>
      </c>
      <c r="D1468" s="562">
        <v>6800</v>
      </c>
      <c r="E1468" s="563">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5" t="s">
        <v>1123</v>
      </c>
      <c r="B1469" s="565"/>
      <c r="C1469" s="565"/>
      <c r="D1469" s="565"/>
      <c r="E1469" s="566">
        <f>(E1465-E1466-E1467)+E1468</f>
        <v>8669</v>
      </c>
    </row>
    <row r="1470" spans="1:5" x14ac:dyDescent="0.2">
      <c r="A1470" s="562" t="s">
        <v>1005</v>
      </c>
      <c r="B1470" s="562" t="s">
        <v>1005</v>
      </c>
      <c r="C1470" s="562">
        <v>2400</v>
      </c>
      <c r="D1470" s="562">
        <v>6800</v>
      </c>
      <c r="E1470" s="563">
        <f t="array" ref="E1470">SUMIFS('Accounting data'!$G$2:$G$37000,'Accounting data'!$J$2:$J$37000,"24*",'Accounting data'!$K$2:$K$37000,"68*")</f>
        <v>20646</v>
      </c>
    </row>
    <row r="1471" spans="1:5" x14ac:dyDescent="0.2">
      <c r="A1471" s="562" t="s">
        <v>1006</v>
      </c>
      <c r="B1471" s="562" t="s">
        <v>1005</v>
      </c>
      <c r="C1471" s="562">
        <v>2400</v>
      </c>
      <c r="D1471" s="562">
        <v>6800</v>
      </c>
      <c r="E1471" s="563">
        <f t="array" ref="E1471">SUMIFS('Accounting data'!$G$2:$G$37000,'Accounting data'!$H$2:$H$37000,"9999*",'Accounting data'!$J$2:$J$37000,"24*",'Accounting data'!$K$2:$K$37000,"68*")</f>
        <v>0</v>
      </c>
    </row>
    <row r="1472" spans="1:5" x14ac:dyDescent="0.2">
      <c r="A1472" s="562" t="s">
        <v>1005</v>
      </c>
      <c r="B1472" s="562" t="s">
        <v>1007</v>
      </c>
      <c r="C1472" s="562">
        <v>2400</v>
      </c>
      <c r="D1472" s="562">
        <v>6800</v>
      </c>
      <c r="E1472" s="563">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4" t="s">
        <v>1006</v>
      </c>
      <c r="B1473" s="562" t="s">
        <v>1007</v>
      </c>
      <c r="C1473" s="562">
        <v>2400</v>
      </c>
      <c r="D1473" s="562">
        <v>6800</v>
      </c>
      <c r="E1473" s="563">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5" t="s">
        <v>1124</v>
      </c>
      <c r="B1474" s="565"/>
      <c r="C1474" s="565"/>
      <c r="D1474" s="565"/>
      <c r="E1474" s="566">
        <f>(E1470-E1471-E1472)+E1473</f>
        <v>20646</v>
      </c>
    </row>
    <row r="1475" spans="1:5" x14ac:dyDescent="0.2">
      <c r="A1475" s="562" t="s">
        <v>1005</v>
      </c>
      <c r="B1475" s="562" t="s">
        <v>1005</v>
      </c>
      <c r="C1475" s="562">
        <v>2500</v>
      </c>
      <c r="D1475" s="562">
        <v>6800</v>
      </c>
      <c r="E1475" s="563">
        <f t="array" ref="E1475">SUMIFS('Accounting data'!$G$2:$G$37000,'Accounting data'!$J$2:$J$37000,"25*",'Accounting data'!$K$2:$K$37000,"68*")</f>
        <v>1779143</v>
      </c>
    </row>
    <row r="1476" spans="1:5" x14ac:dyDescent="0.2">
      <c r="A1476" s="562" t="s">
        <v>1006</v>
      </c>
      <c r="B1476" s="562" t="s">
        <v>1005</v>
      </c>
      <c r="C1476" s="562">
        <v>2500</v>
      </c>
      <c r="D1476" s="562">
        <v>6800</v>
      </c>
      <c r="E1476" s="563">
        <f t="array" ref="E1476">SUMIFS('Accounting data'!$G$2:$G$37000,'Accounting data'!$H$2:$H$37000,"9999*",'Accounting data'!$J$2:$J$37000,"25*",'Accounting data'!$K$2:$K$37000,"68*")</f>
        <v>0</v>
      </c>
    </row>
    <row r="1477" spans="1:5" x14ac:dyDescent="0.2">
      <c r="A1477" s="562" t="s">
        <v>1005</v>
      </c>
      <c r="B1477" s="562" t="s">
        <v>1007</v>
      </c>
      <c r="C1477" s="562">
        <v>2500</v>
      </c>
      <c r="D1477" s="562">
        <v>6800</v>
      </c>
      <c r="E1477" s="563">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4" t="s">
        <v>1006</v>
      </c>
      <c r="B1478" s="562" t="s">
        <v>1007</v>
      </c>
      <c r="C1478" s="562">
        <v>2500</v>
      </c>
      <c r="D1478" s="562">
        <v>6800</v>
      </c>
      <c r="E1478" s="563">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5" t="s">
        <v>1125</v>
      </c>
      <c r="B1479" s="565"/>
      <c r="C1479" s="565"/>
      <c r="D1479" s="565"/>
      <c r="E1479" s="566">
        <f>(E1475-E1476-E1477)+E1478</f>
        <v>1779143</v>
      </c>
    </row>
    <row r="1480" spans="1:5" x14ac:dyDescent="0.2">
      <c r="A1480" s="562" t="s">
        <v>1005</v>
      </c>
      <c r="B1480" s="562" t="s">
        <v>1005</v>
      </c>
      <c r="C1480" s="562">
        <v>2900</v>
      </c>
      <c r="D1480" s="562">
        <v>6800</v>
      </c>
      <c r="E1480" s="563">
        <f t="array" ref="E1480">SUMIFS('Accounting data'!$G$2:$G$37000,'Accounting data'!$J$2:$J$37000,"29*",'Accounting data'!$K$2:$K$37000,"68*")</f>
        <v>0</v>
      </c>
    </row>
    <row r="1481" spans="1:5" x14ac:dyDescent="0.2">
      <c r="A1481" s="562" t="s">
        <v>1006</v>
      </c>
      <c r="B1481" s="562" t="s">
        <v>1005</v>
      </c>
      <c r="C1481" s="562">
        <v>2900</v>
      </c>
      <c r="D1481" s="562">
        <v>6800</v>
      </c>
      <c r="E1481" s="563">
        <f t="array" ref="E1481">SUMIFS('Accounting data'!$G$2:$G$37000,'Accounting data'!$H$2:$H$37000,"9999*",'Accounting data'!$J$2:$J$37000,"29*",'Accounting data'!$K$2:$K$37000,"68*")</f>
        <v>0</v>
      </c>
    </row>
    <row r="1482" spans="1:5" x14ac:dyDescent="0.2">
      <c r="A1482" s="562" t="s">
        <v>1005</v>
      </c>
      <c r="B1482" s="562" t="s">
        <v>1007</v>
      </c>
      <c r="C1482" s="562">
        <v>2900</v>
      </c>
      <c r="D1482" s="562">
        <v>6800</v>
      </c>
      <c r="E1482" s="563">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4" t="s">
        <v>1006</v>
      </c>
      <c r="B1483" s="562" t="s">
        <v>1007</v>
      </c>
      <c r="C1483" s="562">
        <v>2900</v>
      </c>
      <c r="D1483" s="562">
        <v>6800</v>
      </c>
      <c r="E1483" s="563">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5" t="s">
        <v>1126</v>
      </c>
      <c r="B1484" s="565"/>
      <c r="C1484" s="565"/>
      <c r="D1484" s="565"/>
      <c r="E1484" s="566">
        <f>(E1480-E1481-E1482)+E1483</f>
        <v>0</v>
      </c>
    </row>
    <row r="1485" spans="1:5" x14ac:dyDescent="0.2">
      <c r="A1485" s="562" t="s">
        <v>1005</v>
      </c>
      <c r="B1485" s="562" t="s">
        <v>1005</v>
      </c>
      <c r="C1485" s="562">
        <v>2600</v>
      </c>
      <c r="D1485" s="562">
        <v>6800</v>
      </c>
      <c r="E1485" s="563">
        <f t="array" ref="E1485">SUMIFS('Accounting data'!$G$2:$G$37000,'Accounting data'!$J$2:$J$37000,"26*",'Accounting data'!$K$2:$K$37000,"68*")</f>
        <v>0</v>
      </c>
    </row>
    <row r="1486" spans="1:5" x14ac:dyDescent="0.2">
      <c r="A1486" s="562" t="s">
        <v>1006</v>
      </c>
      <c r="B1486" s="562" t="s">
        <v>1005</v>
      </c>
      <c r="C1486" s="562">
        <v>2600</v>
      </c>
      <c r="D1486" s="562">
        <v>6800</v>
      </c>
      <c r="E1486" s="563">
        <f t="array" ref="E1486">SUMIFS('Accounting data'!$G$2:$G$37000,'Accounting data'!$H$2:$H$37000,"9999*",'Accounting data'!$J$2:$J$37000,"26*",'Accounting data'!$K$2:$K$37000,"68*")</f>
        <v>0</v>
      </c>
    </row>
    <row r="1487" spans="1:5" x14ac:dyDescent="0.2">
      <c r="A1487" s="562" t="s">
        <v>1005</v>
      </c>
      <c r="B1487" s="562" t="s">
        <v>1007</v>
      </c>
      <c r="C1487" s="562">
        <v>2600</v>
      </c>
      <c r="D1487" s="562">
        <v>6800</v>
      </c>
      <c r="E1487" s="563">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4" t="s">
        <v>1006</v>
      </c>
      <c r="B1488" s="562" t="s">
        <v>1007</v>
      </c>
      <c r="C1488" s="562">
        <v>2600</v>
      </c>
      <c r="D1488" s="562">
        <v>6800</v>
      </c>
      <c r="E1488" s="563">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5" t="s">
        <v>1127</v>
      </c>
      <c r="B1489" s="565"/>
      <c r="C1489" s="565"/>
      <c r="D1489" s="565"/>
      <c r="E1489" s="566">
        <f>(E1485-E1486-E1487)+E1488</f>
        <v>0</v>
      </c>
    </row>
    <row r="1490" spans="1:5" x14ac:dyDescent="0.2">
      <c r="A1490" s="562" t="s">
        <v>1005</v>
      </c>
      <c r="B1490" s="562" t="s">
        <v>1005</v>
      </c>
      <c r="C1490" s="562">
        <v>2700</v>
      </c>
      <c r="D1490" s="562">
        <v>6800</v>
      </c>
      <c r="E1490" s="563">
        <f t="array" ref="E1490">SUMIFS('Accounting data'!$G$2:$G$37000,'Accounting data'!$J$2:$J$37000,"27*",'Accounting data'!$K$2:$K$37000,"68*")</f>
        <v>0</v>
      </c>
    </row>
    <row r="1491" spans="1:5" x14ac:dyDescent="0.2">
      <c r="A1491" s="562" t="s">
        <v>1006</v>
      </c>
      <c r="B1491" s="562" t="s">
        <v>1005</v>
      </c>
      <c r="C1491" s="562">
        <v>2700</v>
      </c>
      <c r="D1491" s="562">
        <v>6800</v>
      </c>
      <c r="E1491" s="563">
        <f t="array" ref="E1491">SUMIFS('Accounting data'!$G$2:$G$37000,'Accounting data'!$H$2:$H$37000,"9999*",'Accounting data'!$J$2:$J$37000,"27*",'Accounting data'!$K$2:$K$37000,"68*")</f>
        <v>0</v>
      </c>
    </row>
    <row r="1492" spans="1:5" x14ac:dyDescent="0.2">
      <c r="A1492" s="562" t="s">
        <v>1005</v>
      </c>
      <c r="B1492" s="562" t="s">
        <v>1007</v>
      </c>
      <c r="C1492" s="562">
        <v>2700</v>
      </c>
      <c r="D1492" s="562">
        <v>6800</v>
      </c>
      <c r="E1492" s="563">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4" t="s">
        <v>1006</v>
      </c>
      <c r="B1493" s="562" t="s">
        <v>1007</v>
      </c>
      <c r="C1493" s="562">
        <v>2700</v>
      </c>
      <c r="D1493" s="562">
        <v>6800</v>
      </c>
      <c r="E1493" s="563">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5" t="s">
        <v>1128</v>
      </c>
      <c r="B1494" s="565"/>
      <c r="C1494" s="565"/>
      <c r="D1494" s="565"/>
      <c r="E1494" s="566">
        <f>(E1490-E1491-E1492)+E1493</f>
        <v>0</v>
      </c>
    </row>
    <row r="1495" spans="1:5" x14ac:dyDescent="0.2">
      <c r="A1495" s="562" t="s">
        <v>1005</v>
      </c>
      <c r="B1495" s="562" t="s">
        <v>1005</v>
      </c>
      <c r="C1495" s="562">
        <v>3100</v>
      </c>
      <c r="D1495" s="562">
        <v>6800</v>
      </c>
      <c r="E1495" s="563">
        <f t="array" ref="E1495">SUMIFS('Accounting data'!$G$2:$G$37000,'Accounting data'!$J$2:$J$37000,"31*",'Accounting data'!$K$2:$K$37000,"68*")</f>
        <v>0</v>
      </c>
    </row>
    <row r="1496" spans="1:5" x14ac:dyDescent="0.2">
      <c r="A1496" s="562" t="s">
        <v>1006</v>
      </c>
      <c r="B1496" s="562" t="s">
        <v>1005</v>
      </c>
      <c r="C1496" s="562">
        <v>3100</v>
      </c>
      <c r="D1496" s="562">
        <v>6800</v>
      </c>
      <c r="E1496" s="563">
        <f t="array" ref="E1496">SUMIFS('Accounting data'!$G$2:$G$37000,'Accounting data'!$H$2:$H$37000,"9999*",'Accounting data'!$J$2:$J$37000,"31*",'Accounting data'!$K$2:$K$37000,"68*")</f>
        <v>0</v>
      </c>
    </row>
    <row r="1497" spans="1:5" x14ac:dyDescent="0.2">
      <c r="A1497" s="562" t="s">
        <v>1005</v>
      </c>
      <c r="B1497" s="562" t="s">
        <v>1007</v>
      </c>
      <c r="C1497" s="562">
        <v>3100</v>
      </c>
      <c r="D1497" s="562">
        <v>6800</v>
      </c>
      <c r="E1497" s="563">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4" t="s">
        <v>1006</v>
      </c>
      <c r="B1498" s="562" t="s">
        <v>1007</v>
      </c>
      <c r="C1498" s="562">
        <v>3100</v>
      </c>
      <c r="D1498" s="562">
        <v>6800</v>
      </c>
      <c r="E1498" s="563">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5" t="s">
        <v>1129</v>
      </c>
      <c r="B1499" s="565"/>
      <c r="C1499" s="565"/>
      <c r="D1499" s="565"/>
      <c r="E1499" s="566">
        <f>(E1495-E1496-E1497)+E1498</f>
        <v>0</v>
      </c>
    </row>
    <row r="1500" spans="1:5" x14ac:dyDescent="0.2">
      <c r="A1500" s="562" t="s">
        <v>1005</v>
      </c>
      <c r="B1500" s="562" t="s">
        <v>1005</v>
      </c>
      <c r="C1500" s="562">
        <v>3400</v>
      </c>
      <c r="D1500" s="562">
        <v>6800</v>
      </c>
      <c r="E1500" s="563">
        <f t="array" ref="E1500">SUMIFS('Accounting data'!$G$2:$G$37000,'Accounting data'!$J$2:$J$37000,"34*",'Accounting data'!$K$2:$K$37000,"68*")</f>
        <v>0</v>
      </c>
    </row>
    <row r="1501" spans="1:5" x14ac:dyDescent="0.2">
      <c r="A1501" s="562" t="s">
        <v>1006</v>
      </c>
      <c r="B1501" s="562" t="s">
        <v>1005</v>
      </c>
      <c r="C1501" s="562">
        <v>3400</v>
      </c>
      <c r="D1501" s="562">
        <v>6800</v>
      </c>
      <c r="E1501" s="563">
        <f t="array" ref="E1501">SUMIFS('Accounting data'!$G$2:$G$37000,'Accounting data'!$H$2:$H$37000,"9999*",'Accounting data'!$J$2:$J$37000,"34*",'Accounting data'!$K$2:$K$37000,"68*")</f>
        <v>0</v>
      </c>
    </row>
    <row r="1502" spans="1:5" x14ac:dyDescent="0.2">
      <c r="A1502" s="562" t="s">
        <v>1005</v>
      </c>
      <c r="B1502" s="562" t="s">
        <v>1007</v>
      </c>
      <c r="C1502" s="562">
        <v>3400</v>
      </c>
      <c r="D1502" s="562">
        <v>6800</v>
      </c>
      <c r="E1502" s="563">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4" t="s">
        <v>1006</v>
      </c>
      <c r="B1503" s="562" t="s">
        <v>1007</v>
      </c>
      <c r="C1503" s="562">
        <v>3400</v>
      </c>
      <c r="D1503" s="562">
        <v>6800</v>
      </c>
      <c r="E1503" s="563">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5" t="s">
        <v>1130</v>
      </c>
      <c r="B1504" s="565"/>
      <c r="C1504" s="565"/>
      <c r="D1504" s="565"/>
      <c r="E1504" s="566">
        <f>(E1500-E1501-E1502)+E1503</f>
        <v>0</v>
      </c>
    </row>
    <row r="1505" spans="1:5" ht="15" x14ac:dyDescent="0.25">
      <c r="A1505" s="568" t="s">
        <v>1131</v>
      </c>
      <c r="B1505" s="568"/>
      <c r="C1505" s="568"/>
      <c r="D1505" s="568"/>
      <c r="E1505" s="569">
        <f>E1454+E1459+E1464+E1469+E1474+E1479+E1484+E1489+E1494+E1499+E1504</f>
        <v>2937771</v>
      </c>
    </row>
    <row r="1506" spans="1:5" x14ac:dyDescent="0.2">
      <c r="A1506" s="562" t="s">
        <v>1021</v>
      </c>
      <c r="B1506" s="562" t="s">
        <v>1005</v>
      </c>
      <c r="C1506" s="562">
        <v>1000</v>
      </c>
      <c r="D1506" s="562">
        <v>6800</v>
      </c>
      <c r="E1506" s="563">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-1</v>
      </c>
    </row>
    <row r="1507" spans="1:5" x14ac:dyDescent="0.2">
      <c r="A1507" s="562" t="s">
        <v>1021</v>
      </c>
      <c r="B1507" s="562" t="s">
        <v>1005</v>
      </c>
      <c r="C1507" s="562">
        <v>2000</v>
      </c>
      <c r="D1507" s="562">
        <v>6800</v>
      </c>
      <c r="E1507" s="563">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2" t="s">
        <v>1021</v>
      </c>
      <c r="B1508" s="562" t="s">
        <v>1005</v>
      </c>
      <c r="C1508" s="562">
        <v>3000</v>
      </c>
      <c r="D1508" s="562">
        <v>6800</v>
      </c>
      <c r="E1508" s="563">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2" t="s">
        <v>1021</v>
      </c>
      <c r="B1509" s="564">
        <v>700</v>
      </c>
      <c r="C1509" s="562">
        <v>1000</v>
      </c>
      <c r="D1509" s="562">
        <v>6800</v>
      </c>
      <c r="E1509" s="563">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2" t="s">
        <v>1021</v>
      </c>
      <c r="B1510" s="564">
        <v>800</v>
      </c>
      <c r="C1510" s="562">
        <v>1000</v>
      </c>
      <c r="D1510" s="562">
        <v>6800</v>
      </c>
      <c r="E1510" s="563">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2" t="s">
        <v>1021</v>
      </c>
      <c r="B1511" s="564">
        <v>900</v>
      </c>
      <c r="C1511" s="562">
        <v>1000</v>
      </c>
      <c r="D1511" s="562">
        <v>6800</v>
      </c>
      <c r="E1511" s="563">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2" t="s">
        <v>1021</v>
      </c>
      <c r="B1512" s="564">
        <v>700</v>
      </c>
      <c r="C1512" s="562">
        <v>2000</v>
      </c>
      <c r="D1512" s="562">
        <v>6800</v>
      </c>
      <c r="E1512" s="563">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2" t="s">
        <v>1021</v>
      </c>
      <c r="B1513" s="564">
        <v>800</v>
      </c>
      <c r="C1513" s="562">
        <v>2000</v>
      </c>
      <c r="D1513" s="562">
        <v>6800</v>
      </c>
      <c r="E1513" s="563">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2" t="s">
        <v>1021</v>
      </c>
      <c r="B1514" s="564">
        <v>900</v>
      </c>
      <c r="C1514" s="562">
        <v>2000</v>
      </c>
      <c r="D1514" s="562">
        <v>6800</v>
      </c>
      <c r="E1514" s="563">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2" t="s">
        <v>1021</v>
      </c>
      <c r="B1515" s="564">
        <v>700</v>
      </c>
      <c r="C1515" s="562">
        <v>3000</v>
      </c>
      <c r="D1515" s="562">
        <v>6800</v>
      </c>
      <c r="E1515" s="563">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2" t="s">
        <v>1021</v>
      </c>
      <c r="B1516" s="564">
        <v>800</v>
      </c>
      <c r="C1516" s="562">
        <v>3000</v>
      </c>
      <c r="D1516" s="562">
        <v>6800</v>
      </c>
      <c r="E1516" s="563">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2" t="s">
        <v>1021</v>
      </c>
      <c r="B1517" s="564">
        <v>900</v>
      </c>
      <c r="C1517" s="562">
        <v>3000</v>
      </c>
      <c r="D1517" s="562">
        <v>6800</v>
      </c>
      <c r="E1517" s="563">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5" t="s">
        <v>1132</v>
      </c>
      <c r="B1518" s="565"/>
      <c r="C1518" s="565"/>
      <c r="D1518" s="565"/>
      <c r="E1518" s="582">
        <f>(E1506+E1507+E1508)-(E1509+E1510+E1511+E1512+E1513+E1514+E1515+E1516+E1517)</f>
        <v>-1</v>
      </c>
    </row>
    <row r="1519" spans="1:5" x14ac:dyDescent="0.2">
      <c r="A1519" s="562" t="s">
        <v>1005</v>
      </c>
      <c r="B1519" s="562" t="s">
        <v>1005</v>
      </c>
      <c r="C1519" s="562">
        <v>4000</v>
      </c>
      <c r="D1519" s="562">
        <v>6800</v>
      </c>
      <c r="E1519" s="563">
        <f>SUMIFS('Accounting data'!G$2:G$37000,'Accounting data'!J$2:J$37000,"4*",'Accounting data'!K$2:K$37000,"68*")</f>
        <v>0</v>
      </c>
    </row>
    <row r="1520" spans="1:5" x14ac:dyDescent="0.2">
      <c r="A1520" s="562" t="s">
        <v>1006</v>
      </c>
      <c r="B1520" s="562" t="s">
        <v>1005</v>
      </c>
      <c r="C1520" s="562">
        <v>4000</v>
      </c>
      <c r="D1520" s="562">
        <v>6800</v>
      </c>
      <c r="E1520" s="563">
        <f t="array" ref="E1520">SUMIFS('Accounting data'!$G$2:$G$37000,'Accounting data'!$H$2:$H$37000,"9999*",'Accounting data'!$J$2:$J$37000,"4*",'Accounting data'!$K$2:$K$37000,"68*")</f>
        <v>0</v>
      </c>
    </row>
    <row r="1521" spans="1:5" x14ac:dyDescent="0.2">
      <c r="A1521" s="562" t="s">
        <v>1005</v>
      </c>
      <c r="B1521" s="562" t="s">
        <v>1007</v>
      </c>
      <c r="C1521" s="562">
        <v>4000</v>
      </c>
      <c r="D1521" s="562">
        <v>6800</v>
      </c>
      <c r="E1521" s="563">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4" t="s">
        <v>1006</v>
      </c>
      <c r="B1522" s="562" t="s">
        <v>1007</v>
      </c>
      <c r="C1522" s="562">
        <v>4000</v>
      </c>
      <c r="D1522" s="562">
        <v>6800</v>
      </c>
      <c r="E1522" s="563">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5" t="s">
        <v>1133</v>
      </c>
      <c r="B1523" s="565"/>
      <c r="C1523" s="565"/>
      <c r="D1523" s="565"/>
      <c r="E1523" s="566">
        <f>(E1519-E1520-E1521)+E1522</f>
        <v>0</v>
      </c>
    </row>
    <row r="1524" spans="1:5" x14ac:dyDescent="0.2">
      <c r="A1524" s="562" t="s">
        <v>1005</v>
      </c>
      <c r="B1524" s="562" t="s">
        <v>1005</v>
      </c>
      <c r="C1524" s="562">
        <v>1900</v>
      </c>
      <c r="D1524" s="562">
        <v>6100</v>
      </c>
      <c r="E1524" s="563">
        <f>SUMIFS('Accounting data'!$G$2:$G$37000,'Accounting data'!$J$2:$J$37000,"19*",'Accounting data'!$K$2:$K$37000,"61*")</f>
        <v>0</v>
      </c>
    </row>
    <row r="1525" spans="1:5" x14ac:dyDescent="0.2">
      <c r="A1525" s="562" t="s">
        <v>1006</v>
      </c>
      <c r="B1525" s="562" t="s">
        <v>1005</v>
      </c>
      <c r="C1525" s="562">
        <v>1900</v>
      </c>
      <c r="D1525" s="562">
        <v>6100</v>
      </c>
      <c r="E1525" s="563">
        <f>SUMIFS('Accounting data'!$G$2:$G$37000,'Accounting data'!$H$2:$H$37000,"9999*",'Accounting data'!$J$2:$J$37000,"19*",'Accounting data'!$K$2:$K$37000,"61*")</f>
        <v>0</v>
      </c>
    </row>
    <row r="1526" spans="1:5" x14ac:dyDescent="0.2">
      <c r="A1526" s="562" t="s">
        <v>1005</v>
      </c>
      <c r="B1526" s="562" t="s">
        <v>1007</v>
      </c>
      <c r="C1526" s="562">
        <v>1900</v>
      </c>
      <c r="D1526" s="562">
        <v>6100</v>
      </c>
      <c r="E1526" s="563">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4" t="s">
        <v>1006</v>
      </c>
      <c r="B1527" s="562" t="s">
        <v>1007</v>
      </c>
      <c r="C1527" s="562">
        <v>1900</v>
      </c>
      <c r="D1527" s="562">
        <v>6100</v>
      </c>
      <c r="E1527" s="563">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5" t="s">
        <v>1134</v>
      </c>
      <c r="B1528" s="565"/>
      <c r="C1528" s="565"/>
      <c r="D1528" s="565"/>
      <c r="E1528" s="582">
        <f>(E1524-E1525-E1526)+E1527</f>
        <v>0</v>
      </c>
    </row>
    <row r="1529" spans="1:5" x14ac:dyDescent="0.2">
      <c r="A1529" s="562" t="s">
        <v>1021</v>
      </c>
      <c r="B1529" s="562" t="s">
        <v>1005</v>
      </c>
      <c r="C1529" s="562">
        <v>1900</v>
      </c>
      <c r="D1529" s="562">
        <v>6100</v>
      </c>
      <c r="E1529" s="563">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2" t="s">
        <v>1021</v>
      </c>
      <c r="B1530" s="564">
        <v>700</v>
      </c>
      <c r="C1530" s="562">
        <v>1900</v>
      </c>
      <c r="D1530" s="562">
        <v>6100</v>
      </c>
      <c r="E1530" s="563">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2" t="s">
        <v>1021</v>
      </c>
      <c r="B1531" s="564">
        <v>800</v>
      </c>
      <c r="C1531" s="562">
        <v>1900</v>
      </c>
      <c r="D1531" s="562">
        <v>6100</v>
      </c>
      <c r="E1531" s="563">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2" t="s">
        <v>1021</v>
      </c>
      <c r="B1532" s="564">
        <v>900</v>
      </c>
      <c r="C1532" s="562">
        <v>1900</v>
      </c>
      <c r="D1532" s="562">
        <v>6100</v>
      </c>
      <c r="E1532" s="563">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5" t="s">
        <v>1135</v>
      </c>
      <c r="B1533" s="565"/>
      <c r="C1533" s="565"/>
      <c r="D1533" s="565"/>
      <c r="E1533" s="582">
        <f>E1529-(E1530+E1531+E1532)</f>
        <v>0</v>
      </c>
    </row>
    <row r="1534" spans="1:5" x14ac:dyDescent="0.2">
      <c r="A1534" s="568" t="s">
        <v>1136</v>
      </c>
      <c r="B1534" s="568"/>
      <c r="C1534" s="568"/>
      <c r="D1534" s="568"/>
      <c r="E1534" s="572">
        <f>E1528-E1533</f>
        <v>0</v>
      </c>
    </row>
    <row r="1535" spans="1:5" x14ac:dyDescent="0.2">
      <c r="A1535" s="583" t="s">
        <v>1005</v>
      </c>
      <c r="B1535" s="583" t="s">
        <v>1005</v>
      </c>
      <c r="C1535" s="583">
        <v>5000</v>
      </c>
      <c r="D1535" s="583">
        <v>6800</v>
      </c>
      <c r="E1535" s="584">
        <f>SUMIFS('Accounting data'!G$2:G$37000,'Accounting data'!J$2:J$37000,"5*",'Accounting data'!K$2:K$37000,"68*")</f>
        <v>0</v>
      </c>
    </row>
    <row r="1536" spans="1:5" x14ac:dyDescent="0.2">
      <c r="A1536" s="583" t="s">
        <v>1006</v>
      </c>
      <c r="B1536" s="583" t="s">
        <v>1005</v>
      </c>
      <c r="C1536" s="583">
        <v>5000</v>
      </c>
      <c r="D1536" s="583">
        <v>6800</v>
      </c>
      <c r="E1536" s="584">
        <f>SUMIFS('Accounting data'!$G$2:$G$37000,'Accounting data'!$H$2:$H$37000,"9999*",'Accounting data'!$J$2:$J$37000,"5*",'Accounting data'!$K$2:$K$37000,"68*")</f>
        <v>0</v>
      </c>
    </row>
    <row r="1537" spans="1:5" x14ac:dyDescent="0.2">
      <c r="A1537" s="583" t="s">
        <v>1005</v>
      </c>
      <c r="B1537" s="583" t="s">
        <v>1007</v>
      </c>
      <c r="C1537" s="583">
        <v>5000</v>
      </c>
      <c r="D1537" s="583">
        <v>6800</v>
      </c>
      <c r="E1537" s="584">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5" t="s">
        <v>1006</v>
      </c>
      <c r="B1538" s="583" t="s">
        <v>1007</v>
      </c>
      <c r="C1538" s="583">
        <v>5000</v>
      </c>
      <c r="D1538" s="583">
        <v>6800</v>
      </c>
      <c r="E1538" s="584">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6" t="s">
        <v>1137</v>
      </c>
      <c r="B1539" s="586"/>
      <c r="C1539" s="586"/>
      <c r="D1539" s="586"/>
      <c r="E1539" s="566">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sqref="A1:B1"/>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21" t="s">
        <v>0</v>
      </c>
      <c r="B1" s="721"/>
      <c r="C1" s="618" t="str">
        <f>'Cover Page'!D1</f>
        <v>ASU Preparatory Academy - Digital</v>
      </c>
      <c r="G1" s="59" t="s">
        <v>1</v>
      </c>
      <c r="H1" s="735" t="str">
        <f>'Cover Page'!M1</f>
        <v>Maricopa</v>
      </c>
      <c r="I1" s="735"/>
      <c r="L1" s="59" t="s">
        <v>2</v>
      </c>
      <c r="M1" s="734" t="str">
        <f>'Cover Page'!R1</f>
        <v>078284000</v>
      </c>
      <c r="N1" s="735"/>
    </row>
    <row r="2" spans="1:14" x14ac:dyDescent="0.2">
      <c r="F2" s="615"/>
      <c r="G2" s="615"/>
      <c r="H2" t="s">
        <v>20</v>
      </c>
    </row>
    <row r="3" spans="1:14" x14ac:dyDescent="0.2">
      <c r="A3" s="597" t="s">
        <v>21</v>
      </c>
      <c r="B3" s="597"/>
    </row>
    <row r="4" spans="1:14" x14ac:dyDescent="0.2">
      <c r="A4" s="597" t="s">
        <v>22</v>
      </c>
      <c r="H4" s="60" t="s">
        <v>23</v>
      </c>
      <c r="J4" s="61"/>
      <c r="K4" s="61"/>
      <c r="L4" s="61"/>
    </row>
    <row r="5" spans="1:14" x14ac:dyDescent="0.2">
      <c r="A5" s="3" t="s">
        <v>24</v>
      </c>
      <c r="B5" s="730" t="s">
        <v>25</v>
      </c>
      <c r="C5" s="730"/>
      <c r="D5" s="730"/>
      <c r="H5" s="600">
        <f>-(SUMIFS('Accounting data'!$G$2:$G$37000,'Accounting data'!$K$2:$K$37000,"1310*"))+SUMIFS('Accounting data'!$G$2:$G$37000,'Accounting data'!$H$2:$H$37000,"9999*",'Accounting data'!$K$2:$K$37000,"1310*")</f>
        <v>-145</v>
      </c>
      <c r="I5" s="619" t="s">
        <v>24</v>
      </c>
      <c r="J5" s="61"/>
      <c r="K5" s="61"/>
      <c r="L5" s="61"/>
    </row>
    <row r="6" spans="1:14" x14ac:dyDescent="0.2">
      <c r="A6" s="3" t="s">
        <v>26</v>
      </c>
      <c r="B6" s="730" t="s">
        <v>27</v>
      </c>
      <c r="C6" s="730"/>
      <c r="D6" s="730"/>
      <c r="H6" s="600">
        <f>-(SUMIFS('Accounting data'!$G$2:$G$37000,'Accounting data'!$K$2:$K$37000,"1320*"))+SUMIFS('Accounting data'!$G$2:$G$37000,'Accounting data'!$H$2:$H$37000,"9999*",'Accounting data'!$K$2:$K$37000,"1320*")</f>
        <v>0</v>
      </c>
      <c r="I6" s="619" t="s">
        <v>26</v>
      </c>
      <c r="J6" s="61"/>
      <c r="K6" s="61"/>
      <c r="L6" s="61"/>
    </row>
    <row r="7" spans="1:14" ht="12.75" customHeight="1" x14ac:dyDescent="0.2">
      <c r="A7" s="3" t="s">
        <v>28</v>
      </c>
      <c r="B7" s="713" t="s">
        <v>29</v>
      </c>
      <c r="C7" s="713"/>
      <c r="D7" s="713"/>
      <c r="H7" s="600">
        <f>-(SUMIFS('Accounting data'!$G$2:$G$37000,'Accounting data'!$K$2:$K$37000,"1410*"))+SUMIFS('Accounting data'!$G$2:$G$37000,'Accounting data'!$H$2:$H$37000,"9999*",'Accounting data'!$K$2:$K$37000,"1410*")</f>
        <v>0</v>
      </c>
      <c r="I7" s="619" t="s">
        <v>28</v>
      </c>
      <c r="J7" s="736" t="s">
        <v>30</v>
      </c>
      <c r="K7" s="736"/>
      <c r="L7" s="61"/>
    </row>
    <row r="8" spans="1:14" x14ac:dyDescent="0.2">
      <c r="A8" s="3" t="s">
        <v>31</v>
      </c>
      <c r="B8" s="713" t="s">
        <v>32</v>
      </c>
      <c r="C8" s="713"/>
      <c r="D8" s="713"/>
      <c r="H8" s="600">
        <f>-(SUMIFS('Accounting data'!$G$2:$G$37000,'Accounting data'!$K$2:$K$37000,"1420*"))+SUMIFS('Accounting data'!$G$2:$G$37000,'Accounting data'!$H$2:$H$37000,"9999*",'Accounting data'!$K$2:$K$37000,"1420*")</f>
        <v>0</v>
      </c>
      <c r="I8" s="619" t="s">
        <v>31</v>
      </c>
      <c r="J8" s="736"/>
      <c r="K8" s="736"/>
      <c r="L8" s="61"/>
    </row>
    <row r="9" spans="1:14" x14ac:dyDescent="0.2">
      <c r="A9" s="3" t="s">
        <v>33</v>
      </c>
      <c r="B9" s="713" t="s">
        <v>34</v>
      </c>
      <c r="C9" s="713"/>
      <c r="H9" s="600">
        <f>-(SUMIFS('Accounting data'!$G$2:$G$37000,'Accounting data'!$K$2:$K$37000,"1500*"))+SUMIFS('Accounting data'!$G$2:$G$37000,'Accounting data'!$H$2:$H$37000,"9999*",'Accounting data'!$K$2:$K$37000,"1500*")</f>
        <v>108177</v>
      </c>
      <c r="I9" s="619" t="s">
        <v>33</v>
      </c>
      <c r="J9" s="736"/>
      <c r="K9" s="736"/>
      <c r="L9" s="61"/>
    </row>
    <row r="10" spans="1:14" x14ac:dyDescent="0.2">
      <c r="A10" s="62" t="s">
        <v>35</v>
      </c>
      <c r="B10" s="713" t="s">
        <v>36</v>
      </c>
      <c r="C10" s="713"/>
      <c r="H10" s="600">
        <f>'[2]Food Service AFR'!$E$7</f>
        <v>0</v>
      </c>
      <c r="I10" s="619" t="s">
        <v>35</v>
      </c>
      <c r="J10" s="737">
        <f>-(SUMIFS('Accounting data'!$G$2:$G$37000,'Accounting data'!$K$2:$K$37000,"1600*"))+SUMIFS('Accounting data'!$G$2:$G$37000,'Accounting data'!$H$2:$H$37000,"9999*",'Accounting data'!$K$2:$K$37000,"1600*")</f>
        <v>0</v>
      </c>
      <c r="K10" s="737"/>
      <c r="L10" s="61" t="str">
        <f>IF(H10&lt;&gt;J10,"The amount reported for 1600 food service revenue from the Food Service AFR does not agree to the amount in the Accounting Data Tab. Please verify the amounts and ensure they agree.","")</f>
        <v/>
      </c>
    </row>
    <row r="11" spans="1:14" x14ac:dyDescent="0.2">
      <c r="A11" s="3" t="s">
        <v>37</v>
      </c>
      <c r="B11" s="713" t="s">
        <v>38</v>
      </c>
      <c r="C11" s="713"/>
      <c r="H11" s="600">
        <f>-(SUMIFS('Accounting data'!$G$2:$G$37000,'Accounting data'!$K$2:$K$37000,"1700*"))+SUMIFS('Accounting data'!$G$2:$G$37000,'Accounting data'!$H$2:$H$37000,"9999*",'Accounting data'!$K$2:$K$37000,"1700*")</f>
        <v>23948</v>
      </c>
      <c r="I11" s="619" t="s">
        <v>37</v>
      </c>
      <c r="J11" s="61"/>
      <c r="K11" s="61"/>
      <c r="L11" s="61"/>
    </row>
    <row r="12" spans="1:14" x14ac:dyDescent="0.2">
      <c r="A12" s="63" t="s">
        <v>39</v>
      </c>
      <c r="B12" s="713" t="s">
        <v>40</v>
      </c>
      <c r="C12" s="713"/>
      <c r="D12" s="713"/>
      <c r="E12" s="713"/>
      <c r="F12" s="713"/>
      <c r="H12" s="600">
        <f>-(SUMIFS('Accounting data'!$G$2:$G$37000,'Accounting data'!$K$2:$K$37000,"1750*"))+SUMIFS('Accounting data'!$G$2:$G$37000,'Accounting data'!$H$2:$H$37000,"9999*",'Accounting data'!$K$2:$K$37000,"1750*")</f>
        <v>0</v>
      </c>
      <c r="I12" s="631" t="s">
        <v>39</v>
      </c>
      <c r="J12" s="61"/>
      <c r="K12" s="61"/>
      <c r="L12" s="61"/>
    </row>
    <row r="13" spans="1:14" x14ac:dyDescent="0.2">
      <c r="A13" s="64" t="s">
        <v>41</v>
      </c>
      <c r="B13" s="713" t="s">
        <v>42</v>
      </c>
      <c r="C13" s="713"/>
      <c r="H13" s="600">
        <f>-(SUMIFS('Accounting data'!$G$2:$G$37000,'Accounting data'!$K$2:$K$37000,"1790*"))+SUMIFS('Accounting data'!$G$2:$G$37000,'Accounting data'!$H$2:$H$37000,"9999*",'Accounting data'!$K$2:$K$37000,"1790*")</f>
        <v>9972</v>
      </c>
      <c r="I13" s="631" t="s">
        <v>41</v>
      </c>
      <c r="J13" s="65"/>
      <c r="K13" s="61"/>
      <c r="L13" s="61"/>
    </row>
    <row r="14" spans="1:14" x14ac:dyDescent="0.2">
      <c r="A14" s="64" t="s">
        <v>43</v>
      </c>
      <c r="B14" s="713" t="s">
        <v>44</v>
      </c>
      <c r="C14" s="713"/>
      <c r="H14" s="600">
        <f>-(SUMIFS('Accounting data'!$G$2:$G$37000,'Accounting data'!$K$2:$K$37000,"1800*"))+SUMIFS('Accounting data'!$G$2:$G$37000,'Accounting data'!$H$2:$H$37000,"9999*",'Accounting data'!$K$2:$K$37000,"1800*")</f>
        <v>0</v>
      </c>
      <c r="I14" s="631" t="s">
        <v>43</v>
      </c>
      <c r="J14" s="61"/>
      <c r="K14" s="61"/>
      <c r="L14" s="61"/>
    </row>
    <row r="15" spans="1:14" x14ac:dyDescent="0.2">
      <c r="A15" s="64" t="s">
        <v>45</v>
      </c>
      <c r="B15" t="s">
        <v>46</v>
      </c>
      <c r="H15" s="600">
        <f>-(SUMIFS('Accounting data'!$G$2:$G$37000,'Accounting data'!$K$2:$K$37000,"1900*"))+SUMIFS('Accounting data'!$G$2:$G$37000,'Accounting data'!$H$2:$H$37000,"9999*",'Accounting data'!$K$2:$K$37000,"1900*")</f>
        <v>0</v>
      </c>
      <c r="I15" s="631" t="s">
        <v>45</v>
      </c>
      <c r="J15" s="61"/>
      <c r="K15" s="61"/>
      <c r="L15" s="61"/>
    </row>
    <row r="16" spans="1:14" x14ac:dyDescent="0.2">
      <c r="A16" s="64" t="s">
        <v>47</v>
      </c>
      <c r="B16" s="713" t="s">
        <v>48</v>
      </c>
      <c r="C16" s="713"/>
      <c r="H16" s="600">
        <f>-(SUMIFS('Accounting data'!$G$2:$G$37000,'Accounting data'!$K$2:$K$37000,"1920*"))+SUMIFS('Accounting data'!$G$2:$G$37000,'Accounting data'!$H$2:$H$37000,"9999*",'Accounting data'!$K$2:$K$37000,"1920*")</f>
        <v>1540262</v>
      </c>
      <c r="I16" s="631" t="s">
        <v>47</v>
      </c>
      <c r="J16" s="61"/>
      <c r="K16" s="61"/>
      <c r="L16" s="61"/>
    </row>
    <row r="17" spans="1:27" ht="15" x14ac:dyDescent="0.25">
      <c r="A17" s="64" t="s">
        <v>49</v>
      </c>
      <c r="B17" s="713" t="s">
        <v>50</v>
      </c>
      <c r="C17" s="713"/>
      <c r="D17" s="732"/>
      <c r="E17" s="733"/>
      <c r="F17" s="733"/>
      <c r="H17" s="600">
        <f>-(SUMIFS('Accounting data'!$G$2:$G$37000,'Accounting data'!$K$2:$K$37000,"Other Revenue from Local Sources"))+SUMIFS('Accounting data'!$G$2:$G$37000,'Accounting data'!$H$2:$H$37000,"9999*",'Accounting data'!$K$2:$K$37000,"Other Revenue from Local Sources")</f>
        <v>0</v>
      </c>
      <c r="I17" s="631" t="s">
        <v>49</v>
      </c>
      <c r="J17" s="61"/>
      <c r="K17" s="61"/>
      <c r="L17" s="61"/>
      <c r="AA17" s="48" t="str">
        <f>IF(OR(AND(D17="",H17&lt;&gt;0),AND(D22="",H22&lt;&gt;0),AND(D29="",H29&lt;&gt;0),AND(D37="",H37&lt;&gt;0)),"yes","")</f>
        <v/>
      </c>
    </row>
    <row r="18" spans="1:27" x14ac:dyDescent="0.2">
      <c r="A18" s="64" t="s">
        <v>51</v>
      </c>
      <c r="B18" s="713" t="s">
        <v>1159</v>
      </c>
      <c r="C18" s="713"/>
      <c r="H18" s="599">
        <f>SUM(H5:H17)</f>
        <v>1682214</v>
      </c>
      <c r="I18" s="631" t="s">
        <v>51</v>
      </c>
      <c r="J18" s="61"/>
      <c r="K18" s="61"/>
      <c r="L18" s="61"/>
    </row>
    <row r="19" spans="1:27" x14ac:dyDescent="0.2">
      <c r="A19" s="597" t="s">
        <v>52</v>
      </c>
      <c r="B19" s="597"/>
      <c r="H19" s="26"/>
      <c r="I19" s="619" t="s">
        <v>20</v>
      </c>
      <c r="J19" s="61"/>
      <c r="K19" s="61"/>
      <c r="L19" s="61"/>
    </row>
    <row r="20" spans="1:27" x14ac:dyDescent="0.2">
      <c r="A20" s="64" t="s">
        <v>53</v>
      </c>
      <c r="B20" s="713" t="s">
        <v>54</v>
      </c>
      <c r="C20" s="713"/>
      <c r="H20" s="600">
        <f>-(SUMIFS('Accounting data'!$G$2:$G$37000,'Accounting data'!$K$2:$K$37000,"2100*"))+SUMIFS('Accounting data'!$G$2:$G$37000,'Accounting data'!$H$2:$H$37000,"9999*",'Accounting data'!$K$2:$K$37000,"2100*")</f>
        <v>0</v>
      </c>
      <c r="I20" s="631" t="s">
        <v>53</v>
      </c>
      <c r="J20" s="61"/>
      <c r="K20" s="61"/>
      <c r="L20" s="61"/>
    </row>
    <row r="21" spans="1:27" x14ac:dyDescent="0.2">
      <c r="A21" s="64" t="s">
        <v>55</v>
      </c>
      <c r="B21" s="713" t="s">
        <v>56</v>
      </c>
      <c r="C21" s="713"/>
      <c r="H21" s="600">
        <f>-(SUMIFS('Accounting data'!$G$2:$G$37000,'Accounting data'!$K$2:$K$37000,"2200*"))+SUMIFS('Accounting data'!$G$2:$G$37000,'Accounting data'!$H$2:$H$37000,"9999*",'Accounting data'!$K$2:$K$37000,"2200*")</f>
        <v>0</v>
      </c>
      <c r="I21" s="631" t="s">
        <v>55</v>
      </c>
      <c r="J21" s="61"/>
      <c r="K21" s="61"/>
      <c r="L21" s="61"/>
    </row>
    <row r="22" spans="1:27" ht="15" x14ac:dyDescent="0.25">
      <c r="A22" s="64" t="s">
        <v>57</v>
      </c>
      <c r="B22" s="713" t="s">
        <v>58</v>
      </c>
      <c r="C22" s="713"/>
      <c r="D22" s="732"/>
      <c r="E22" s="733"/>
      <c r="F22" s="733"/>
      <c r="H22" s="600">
        <f>-(SUMIFS('Accounting data'!$G$2:$G$37000,'Accounting data'!$K$2:$K$37000,"Other Revenue from Intermediate Sources"))+SUMIFS('Accounting data'!$G$2:$G$37000,'Accounting data'!$H$2:$H$37000,"9999*",'Accounting data'!$K$2:$K$37000,"Other Revenue from Intermediate Sources")</f>
        <v>0</v>
      </c>
      <c r="I22" s="631" t="s">
        <v>57</v>
      </c>
      <c r="J22" s="66"/>
      <c r="K22" s="66"/>
      <c r="L22" s="66"/>
      <c r="M22" s="67"/>
    </row>
    <row r="23" spans="1:27" x14ac:dyDescent="0.2">
      <c r="A23" s="64" t="s">
        <v>59</v>
      </c>
      <c r="B23" s="713" t="s">
        <v>1176</v>
      </c>
      <c r="C23" s="713"/>
      <c r="H23" s="599">
        <f>SUM(H20:H22)</f>
        <v>0</v>
      </c>
      <c r="I23" s="631" t="s">
        <v>59</v>
      </c>
      <c r="J23" s="61"/>
      <c r="K23" s="61"/>
      <c r="L23" s="61"/>
    </row>
    <row r="24" spans="1:27" x14ac:dyDescent="0.2">
      <c r="A24" s="597" t="s">
        <v>60</v>
      </c>
      <c r="B24" s="597"/>
      <c r="H24" s="26"/>
      <c r="I24" s="619"/>
      <c r="J24" s="61"/>
      <c r="K24" s="61"/>
      <c r="L24" s="61"/>
    </row>
    <row r="25" spans="1:27" x14ac:dyDescent="0.2">
      <c r="A25" s="64" t="s">
        <v>61</v>
      </c>
      <c r="B25" s="713" t="s">
        <v>62</v>
      </c>
      <c r="C25" s="713"/>
      <c r="H25" s="600">
        <f>-(SUMIFS('Accounting data'!$G$2:$G$37000,'Accounting data'!$K$2:$K$37000,"3110*"))+SUMIFS('Accounting data'!$G$2:$G$37000,'Accounting data'!$H$2:$H$37000,"9999*",'Accounting data'!$K$2:$K$37000,"3110*")</f>
        <v>32086141</v>
      </c>
      <c r="I25" s="631" t="s">
        <v>61</v>
      </c>
      <c r="J25" s="61"/>
      <c r="K25" s="61"/>
      <c r="L25" s="61"/>
    </row>
    <row r="26" spans="1:27" x14ac:dyDescent="0.2">
      <c r="A26" s="63" t="s">
        <v>63</v>
      </c>
      <c r="B26" s="713" t="s">
        <v>64</v>
      </c>
      <c r="C26" s="713"/>
      <c r="H26" s="600">
        <f>-(SUMIFS('Accounting data'!$G$2:$G$37000,'Accounting data'!$K$2:$K$37000,"3130*"))+SUMIFS('Accounting data'!$G$2:$G$37000,'Accounting data'!$H$2:$H$37000,"9999*",'Accounting data'!$K$2:$K$37000,"3130*")</f>
        <v>0</v>
      </c>
      <c r="I26" s="631" t="s">
        <v>63</v>
      </c>
      <c r="J26" s="61"/>
      <c r="K26" s="61"/>
      <c r="L26" s="61"/>
    </row>
    <row r="27" spans="1:27" x14ac:dyDescent="0.2">
      <c r="A27" s="62" t="s">
        <v>65</v>
      </c>
      <c r="B27" s="713" t="s">
        <v>66</v>
      </c>
      <c r="C27" s="713"/>
      <c r="H27" s="600">
        <f>-(SUMIFS('Accounting data'!$G$2:$G$37000,'Accounting data'!$K$2:$K$37000,"3200*"))+SUMIFS('Accounting data'!$G$2:$G$37000,'Accounting data'!$H$2:$H$37000,"9999*",'Accounting data'!$K$2:$K$37000,"3200*")</f>
        <v>3705140</v>
      </c>
      <c r="I27" s="631" t="s">
        <v>65</v>
      </c>
      <c r="J27" s="66"/>
      <c r="K27" s="66"/>
      <c r="L27" s="66"/>
      <c r="M27" s="67"/>
    </row>
    <row r="28" spans="1:27" x14ac:dyDescent="0.2">
      <c r="A28" s="64" t="s">
        <v>67</v>
      </c>
      <c r="B28" s="713" t="s">
        <v>68</v>
      </c>
      <c r="C28" s="713"/>
      <c r="H28" s="600">
        <f>-(SUMIFS('Accounting data'!$G$2:$G$37000,'Accounting data'!$K$2:$K$37000,"3900*"))+SUMIFS('Accounting data'!$G$2:$G$37000,'Accounting data'!$H$2:$H$37000,"9999*",'Accounting data'!$K$2:$K$37000,"3900*")</f>
        <v>0</v>
      </c>
      <c r="I28" s="631" t="s">
        <v>67</v>
      </c>
      <c r="J28" s="61"/>
      <c r="K28" s="61"/>
      <c r="L28" s="61"/>
    </row>
    <row r="29" spans="1:27" ht="15" x14ac:dyDescent="0.25">
      <c r="A29" s="64" t="s">
        <v>69</v>
      </c>
      <c r="B29" s="713" t="s">
        <v>70</v>
      </c>
      <c r="C29" s="713"/>
      <c r="D29" s="732"/>
      <c r="E29" s="733"/>
      <c r="F29" s="733"/>
      <c r="H29" s="600">
        <f>-(SUMIFS('Accounting data'!$G$2:$G$37000,'Accounting data'!$K$2:$K$37000,"Other Revenue from State Sources"))+SUMIFS('Accounting data'!$G$2:$G$37000,'Accounting data'!$H$2:$H$37000,"9999*",'Accounting data'!$K$2:$K$37000,"Other Revenue from State Sources")</f>
        <v>0</v>
      </c>
      <c r="I29" s="631" t="s">
        <v>69</v>
      </c>
      <c r="J29" s="61"/>
      <c r="K29" s="61"/>
      <c r="L29" s="61"/>
    </row>
    <row r="30" spans="1:27" x14ac:dyDescent="0.2">
      <c r="A30" s="64" t="s">
        <v>71</v>
      </c>
      <c r="B30" s="713" t="s">
        <v>1177</v>
      </c>
      <c r="C30" s="713"/>
      <c r="H30" s="599">
        <f>SUM(H25:H29)</f>
        <v>35791281</v>
      </c>
      <c r="I30" s="631" t="s">
        <v>71</v>
      </c>
      <c r="J30" s="61"/>
      <c r="K30" s="61"/>
      <c r="L30" s="61"/>
    </row>
    <row r="31" spans="1:27" x14ac:dyDescent="0.2">
      <c r="A31" s="616" t="s">
        <v>72</v>
      </c>
      <c r="B31" s="597"/>
      <c r="H31" s="26"/>
      <c r="I31" s="619"/>
      <c r="J31" s="61"/>
      <c r="K31" s="61"/>
      <c r="L31" s="61"/>
    </row>
    <row r="32" spans="1:27" x14ac:dyDescent="0.2">
      <c r="A32" s="62" t="s">
        <v>73</v>
      </c>
      <c r="B32" s="713" t="s">
        <v>74</v>
      </c>
      <c r="C32" s="713"/>
      <c r="D32" s="713"/>
      <c r="E32" s="713"/>
      <c r="F32" s="713"/>
      <c r="H32" s="600">
        <f>-(SUMIFS('Accounting data'!$G$2:$G$37000,'Accounting data'!$K$2:$K$37000,"4100*"))+SUMIFS('Accounting data'!$G$2:$G$37000,'Accounting data'!$H$2:$H$37000,"9999*",'Accounting data'!$K$2:$K$37000,"4100*")</f>
        <v>0</v>
      </c>
      <c r="I32" s="631" t="s">
        <v>73</v>
      </c>
      <c r="J32" s="61"/>
      <c r="K32" s="61"/>
      <c r="L32" s="61"/>
      <c r="M32" s="596"/>
    </row>
    <row r="33" spans="1:12" x14ac:dyDescent="0.2">
      <c r="A33" s="62" t="s">
        <v>75</v>
      </c>
      <c r="B33" s="713" t="s">
        <v>76</v>
      </c>
      <c r="C33" s="713"/>
      <c r="D33" s="713"/>
      <c r="E33" s="713"/>
      <c r="F33" s="713"/>
      <c r="H33" s="600">
        <f>-(SUMIFS('Accounting data'!$G$2:$G$37000,'Accounting data'!$K$2:$K$37000,"4200*"))+SUMIFS('Accounting data'!$G$2:$G$37000,'Accounting data'!$H$2:$H$37000,"9999*",'Accounting data'!$K$2:$K$37000,"4200*")</f>
        <v>4294921</v>
      </c>
      <c r="I33" s="631" t="s">
        <v>75</v>
      </c>
      <c r="J33" s="66"/>
      <c r="K33" s="66"/>
      <c r="L33" s="61"/>
    </row>
    <row r="34" spans="1:12" x14ac:dyDescent="0.2">
      <c r="A34" s="64" t="s">
        <v>77</v>
      </c>
      <c r="B34" s="713" t="s">
        <v>78</v>
      </c>
      <c r="C34" s="713"/>
      <c r="D34" s="713"/>
      <c r="E34" s="713"/>
      <c r="F34" s="713"/>
      <c r="G34" s="713"/>
      <c r="H34" s="600">
        <f>-(SUMIFS('Accounting data'!$G$2:$G$37000,'Accounting data'!$K$2:$K$37000,"4700*"))+SUMIFS('Accounting data'!$G$2:$G$37000,'Accounting data'!$H$2:$H$37000,"9999*",'Accounting data'!$K$2:$K$37000,"4700*")</f>
        <v>0</v>
      </c>
      <c r="I34" s="631" t="s">
        <v>77</v>
      </c>
      <c r="J34" s="66"/>
      <c r="K34" s="66"/>
      <c r="L34" s="61"/>
    </row>
    <row r="35" spans="1:12" x14ac:dyDescent="0.2">
      <c r="A35" s="64" t="s">
        <v>79</v>
      </c>
      <c r="B35" s="619" t="s">
        <v>80</v>
      </c>
      <c r="H35" s="600">
        <f>-(SUMIFS('Accounting data'!$G$2:$G$37000,'Accounting data'!$K$2:$K$37000,"4800*"))+SUMIFS('Accounting data'!$G$2:$G$37000,'Accounting data'!$H$2:$H$37000,"9999*",'Accounting data'!$K$2:$K$37000,"4800*")</f>
        <v>0</v>
      </c>
      <c r="I35" s="631" t="s">
        <v>79</v>
      </c>
      <c r="J35" s="61"/>
      <c r="K35" s="61"/>
      <c r="L35" s="61"/>
    </row>
    <row r="36" spans="1:12" x14ac:dyDescent="0.2">
      <c r="A36" s="64" t="s">
        <v>81</v>
      </c>
      <c r="B36" s="713" t="s">
        <v>82</v>
      </c>
      <c r="C36" s="713"/>
      <c r="D36" s="713"/>
      <c r="E36" s="713"/>
      <c r="F36" s="713"/>
      <c r="G36" s="713"/>
      <c r="H36" s="600">
        <f>-(SUMIFS('Accounting data'!$G$2:$G$37000,'Accounting data'!$K$2:$K$37000,"4900*"))+SUMIFS('Accounting data'!$G$2:$G$37000,'Accounting data'!$H$2:$H$37000,"9999*",'Accounting data'!$K$2:$K$37000,"4900*")</f>
        <v>0</v>
      </c>
      <c r="I36" s="631" t="s">
        <v>81</v>
      </c>
      <c r="J36" s="61"/>
      <c r="K36" s="61"/>
      <c r="L36" s="61"/>
    </row>
    <row r="37" spans="1:12" ht="15" x14ac:dyDescent="0.25">
      <c r="A37" s="64" t="s">
        <v>83</v>
      </c>
      <c r="B37" s="713" t="s">
        <v>84</v>
      </c>
      <c r="C37" s="713"/>
      <c r="D37" s="732"/>
      <c r="E37" s="733"/>
      <c r="F37" s="733"/>
      <c r="H37" s="600">
        <f>-(SUMIFS('Accounting data'!$G$2:$G$37000,'Accounting data'!$K$2:$K$37000,"Other Revenue from Federal Sources"))+SUMIFS('Accounting data'!$G$2:$G$37000,'Accounting data'!$H$2:$H$37000,"9999*",'Accounting data'!$K$2:$K$37000,"Other Revenue from Federal Sources")</f>
        <v>0</v>
      </c>
      <c r="I37" s="631" t="s">
        <v>83</v>
      </c>
      <c r="J37" s="61"/>
      <c r="K37" s="61"/>
      <c r="L37" s="61"/>
    </row>
    <row r="38" spans="1:12" x14ac:dyDescent="0.2">
      <c r="A38" s="64" t="s">
        <v>85</v>
      </c>
      <c r="B38" s="713" t="s">
        <v>1178</v>
      </c>
      <c r="C38" s="713"/>
      <c r="H38" s="680">
        <f>SUM(H32:H37)</f>
        <v>4294921</v>
      </c>
      <c r="I38" s="631" t="s">
        <v>85</v>
      </c>
      <c r="J38" s="61"/>
      <c r="K38" s="61"/>
      <c r="L38" s="61"/>
    </row>
    <row r="39" spans="1:12" x14ac:dyDescent="0.2">
      <c r="A39" s="3"/>
      <c r="B39" s="597"/>
      <c r="H39" s="26"/>
      <c r="I39" s="619"/>
      <c r="J39" s="61"/>
      <c r="K39" s="61"/>
      <c r="L39" s="61"/>
    </row>
    <row r="40" spans="1:12" x14ac:dyDescent="0.2">
      <c r="A40" s="68" t="s">
        <v>86</v>
      </c>
      <c r="B40" s="731" t="s">
        <v>87</v>
      </c>
      <c r="C40" s="731"/>
      <c r="D40" s="731"/>
      <c r="H40" s="600">
        <f>SUM(H18,H23,H30,H38)</f>
        <v>41768416</v>
      </c>
      <c r="I40" s="631" t="s">
        <v>86</v>
      </c>
      <c r="J40" s="61"/>
      <c r="K40" s="61"/>
      <c r="L40" s="61"/>
    </row>
    <row r="41" spans="1:12" x14ac:dyDescent="0.2">
      <c r="I41" s="69"/>
      <c r="J41" s="61"/>
      <c r="K41" s="61"/>
      <c r="L41" s="61"/>
    </row>
    <row r="42" spans="1:12" x14ac:dyDescent="0.2">
      <c r="I42" s="69"/>
      <c r="J42" s="61"/>
      <c r="K42" s="61"/>
      <c r="L42" s="61"/>
    </row>
    <row r="43" spans="1:12" x14ac:dyDescent="0.2">
      <c r="I43" s="69"/>
      <c r="J43" s="61"/>
      <c r="K43" s="61"/>
      <c r="L43" s="61"/>
    </row>
    <row r="44" spans="1:12" x14ac:dyDescent="0.2">
      <c r="I44" s="69"/>
      <c r="J44" s="61"/>
      <c r="K44" s="61"/>
      <c r="L44" s="61"/>
    </row>
    <row r="45" spans="1:12" x14ac:dyDescent="0.2">
      <c r="I45" s="69"/>
      <c r="J45" s="61"/>
      <c r="K45" s="61"/>
      <c r="L45" s="61"/>
    </row>
    <row r="46" spans="1:12" x14ac:dyDescent="0.2">
      <c r="I46" s="69"/>
      <c r="J46" s="61"/>
      <c r="K46" s="61"/>
      <c r="L46" s="61"/>
    </row>
    <row r="47" spans="1:12" x14ac:dyDescent="0.2">
      <c r="I47" s="69"/>
      <c r="J47" s="61"/>
      <c r="K47" s="61"/>
      <c r="L47" s="61"/>
    </row>
    <row r="48" spans="1:12" x14ac:dyDescent="0.2">
      <c r="I48" s="69"/>
      <c r="J48" s="61"/>
      <c r="K48" s="61"/>
      <c r="L48" s="61"/>
    </row>
    <row r="49" spans="9:12" x14ac:dyDescent="0.2">
      <c r="I49" s="69"/>
      <c r="J49" s="61"/>
      <c r="K49" s="61"/>
      <c r="L49" s="61"/>
    </row>
    <row r="50" spans="9:12" x14ac:dyDescent="0.2">
      <c r="I50" s="69"/>
      <c r="J50" s="61"/>
      <c r="K50" s="61"/>
      <c r="L50" s="61"/>
    </row>
  </sheetData>
  <sheetProtection formatCells="0" formatColumns="0" formatRows="0"/>
  <mergeCells count="40">
    <mergeCell ref="B29:C29"/>
    <mergeCell ref="B13:C13"/>
    <mergeCell ref="B14:C14"/>
    <mergeCell ref="B17:C17"/>
    <mergeCell ref="B26:C26"/>
    <mergeCell ref="B16:C16"/>
    <mergeCell ref="B23:C23"/>
    <mergeCell ref="B25:C25"/>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topLeftCell="A13"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7" t="s">
        <v>0</v>
      </c>
      <c r="B1" s="735" t="str">
        <f>'Cover Page'!D1</f>
        <v>ASU Preparatory Academy - Digital</v>
      </c>
      <c r="C1" s="735"/>
      <c r="F1" s="59" t="s">
        <v>1</v>
      </c>
      <c r="G1" s="618" t="str">
        <f>'Cover Page'!M1</f>
        <v>Maricopa</v>
      </c>
      <c r="J1" s="59"/>
      <c r="K1" s="59" t="s">
        <v>2</v>
      </c>
      <c r="L1" s="617" t="str">
        <f>'Cover Page'!R1</f>
        <v>078284000</v>
      </c>
    </row>
    <row r="2" spans="1:32" ht="3.75" customHeight="1" x14ac:dyDescent="0.2">
      <c r="L2" s="615"/>
    </row>
    <row r="3" spans="1:32" ht="15.75" customHeight="1" x14ac:dyDescent="0.2">
      <c r="A3" s="70"/>
      <c r="B3" s="71"/>
      <c r="C3" s="72"/>
      <c r="D3" s="70"/>
      <c r="E3" s="73" t="s">
        <v>88</v>
      </c>
      <c r="F3" s="622" t="s">
        <v>89</v>
      </c>
      <c r="G3" s="74"/>
      <c r="H3" s="75"/>
      <c r="I3" s="744" t="s">
        <v>90</v>
      </c>
      <c r="J3" s="744"/>
      <c r="K3" s="744"/>
      <c r="L3" s="741" t="s">
        <v>91</v>
      </c>
    </row>
    <row r="4" spans="1:32" ht="12" customHeight="1" x14ac:dyDescent="0.2">
      <c r="A4" s="76" t="s">
        <v>92</v>
      </c>
      <c r="C4" s="77"/>
      <c r="D4" s="78" t="s">
        <v>93</v>
      </c>
      <c r="E4" s="79" t="s">
        <v>94</v>
      </c>
      <c r="F4" s="80" t="s">
        <v>95</v>
      </c>
      <c r="G4" s="81" t="s">
        <v>96</v>
      </c>
      <c r="H4" s="78" t="s">
        <v>97</v>
      </c>
      <c r="I4" s="82"/>
      <c r="J4" s="82"/>
      <c r="K4" s="622" t="s">
        <v>98</v>
      </c>
      <c r="L4" s="742"/>
    </row>
    <row r="5" spans="1:32" ht="11.25" customHeight="1" x14ac:dyDescent="0.2">
      <c r="A5" s="83" t="s">
        <v>99</v>
      </c>
      <c r="B5" s="2"/>
      <c r="C5" s="84"/>
      <c r="D5" s="627">
        <v>6100</v>
      </c>
      <c r="E5" s="85">
        <v>6200</v>
      </c>
      <c r="F5" s="85" t="s">
        <v>100</v>
      </c>
      <c r="G5" s="628">
        <v>6600</v>
      </c>
      <c r="H5" s="627">
        <v>6800</v>
      </c>
      <c r="I5" s="621" t="s">
        <v>101</v>
      </c>
      <c r="J5" s="85" t="s">
        <v>23</v>
      </c>
      <c r="K5" s="85" t="s">
        <v>102</v>
      </c>
      <c r="L5" s="743"/>
    </row>
    <row r="6" spans="1:32" ht="12" customHeight="1" x14ac:dyDescent="0.2">
      <c r="A6" s="86" t="s">
        <v>103</v>
      </c>
      <c r="B6" s="71"/>
      <c r="C6" s="72"/>
      <c r="D6" s="87"/>
      <c r="E6" s="87"/>
      <c r="F6" s="87"/>
      <c r="G6" s="87"/>
      <c r="H6" s="87"/>
      <c r="I6" s="87"/>
      <c r="J6" s="87"/>
      <c r="K6" s="87"/>
      <c r="L6" s="748">
        <f>IF(J7=K7,0,IF(K7&gt;0,(J7-K7)/K7,"--"))</f>
        <v>0.2016</v>
      </c>
      <c r="S6" s="596"/>
    </row>
    <row r="7" spans="1:32" ht="12" customHeight="1" x14ac:dyDescent="0.2">
      <c r="A7" s="88" t="s">
        <v>104</v>
      </c>
      <c r="C7" s="89" t="s">
        <v>24</v>
      </c>
      <c r="D7" s="603">
        <f>SUMIFS('Accounting data'!$G$2:$G$37000,'Accounting data'!$H$2:$H$37000,"1000*",'Accounting data'!$I$2:$I$37000,"1*",'Accounting data'!$J$2:$J$37000,"1*",'Accounting data'!$K$2:$K$37000,"61*")+SUMIFS('Accounting data'!$G$2:$G$37000,'Accounting data'!$H$2:$H$37000,"1500*",'Accounting data'!$I$2:$I$37000,"1*",'Accounting data'!$J$2:$J$37000,"1*",'Accounting data'!$K$2:$K$37000,"61*")</f>
        <v>5588147</v>
      </c>
      <c r="E7" s="603">
        <f>SUMIFS('Accounting data'!$G$2:$G$37000,'Accounting data'!$H$2:$H$37000,"1000*",'Accounting data'!$I$2:$I$37000,"1*",'Accounting data'!$J$2:$J$37000,"1*",'Accounting data'!$K$2:$K$37000,"62*")+SUMIFS('Accounting data'!$G$2:$G$37000,'Accounting data'!$H$2:$H$37000,"1500*",'Accounting data'!$I$2:$I$37000,"1*",'Accounting data'!$J$2:$J$37000,"1*",'Accounting data'!$K$2:$K$37000,"62*")</f>
        <v>1352831</v>
      </c>
      <c r="F7" s="603">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339046</v>
      </c>
      <c r="G7" s="603">
        <f>SUMIFS('Accounting data'!$G$2:$G$37000,'Accounting data'!$H$2:$H$37000,"1000*",'Accounting data'!$I$2:$I$37000,"1*",'Accounting data'!$J$2:$J$37000,"1*",'Accounting data'!$K$2:$K$37000,"66*")+SUMIFS('Accounting data'!$G$2:$G$37000,'Accounting data'!$H$2:$H$37000,"1500*",'Accounting data'!$I$2:$I$37000,"1*",'Accounting data'!$J$2:$J$37000,"1*",'Accounting data'!$K$2:$K$37000,"66*")</f>
        <v>430469</v>
      </c>
      <c r="H7" s="603">
        <f>SUMIFS('Accounting data'!$G$2:$G$37000,'Accounting data'!$H$2:$H$37000,"1000*",'Accounting data'!$I$2:$I$37000,"1*",'Accounting data'!$J$2:$J$37000,"1*",'Accounting data'!$K$2:$K$37000,"68*")+SUMIFS('Accounting data'!$G$2:$G$37000,'Accounting data'!$H$2:$H$37000,"1500*",'Accounting data'!$I$2:$I$37000,"1*",'Accounting data'!$J$2:$J$37000,"1*",'Accounting data'!$K$2:$K$37000,"68*")</f>
        <v>1116691</v>
      </c>
      <c r="I7" s="603">
        <f>[3]!SP1000P100F1000</f>
        <v>8979058</v>
      </c>
      <c r="J7" s="603">
        <f>SUM(D7:H7)</f>
        <v>8827184</v>
      </c>
      <c r="K7" s="603">
        <f>[4]!SP1000P100F1000</f>
        <v>7346106</v>
      </c>
      <c r="L7" s="749"/>
      <c r="M7" s="90" t="s">
        <v>24</v>
      </c>
      <c r="S7" s="596"/>
    </row>
    <row r="8" spans="1:32" ht="12" customHeight="1" x14ac:dyDescent="0.2">
      <c r="A8" s="88" t="s">
        <v>105</v>
      </c>
      <c r="C8" s="77"/>
      <c r="D8" s="87"/>
      <c r="E8" s="87"/>
      <c r="F8" s="87"/>
      <c r="G8" s="91"/>
      <c r="H8" s="87"/>
      <c r="I8" s="87"/>
      <c r="J8" s="87"/>
      <c r="K8" s="87"/>
      <c r="L8" s="738">
        <f>IF(J9=K9,0,IF(K9&gt;0,(J9-K9)/K9,"--"))</f>
        <v>0.23350000000000001</v>
      </c>
      <c r="M8" s="619"/>
      <c r="S8" s="596"/>
    </row>
    <row r="9" spans="1:32" ht="12" customHeight="1" x14ac:dyDescent="0.2">
      <c r="A9" s="88" t="s">
        <v>106</v>
      </c>
      <c r="C9" s="89" t="s">
        <v>26</v>
      </c>
      <c r="D9" s="603">
        <f>SUMIFS('Accounting data'!$G$2:$G$37000,'Accounting data'!$H$2:$H$37000,"1000*",'Accounting data'!$I$2:$I$37000,"1*",'Accounting data'!$J$2:$J$37000,"21*",'Accounting data'!$K$2:$K$37000,"61*")+SUMIFS('Accounting data'!$G$2:$G$37000,'Accounting data'!$H$2:$H$37000,"1500*",'Accounting data'!$I$2:$I$37000,"1*",'Accounting data'!$J$2:$J$37000,"21*",'Accounting data'!$K$2:$K$37000,"61*")</f>
        <v>3522812</v>
      </c>
      <c r="E9" s="603">
        <f>SUMIFS('Accounting data'!$G$2:$G$37000,'Accounting data'!$H$2:$H$37000,"1000*",'Accounting data'!$I$2:$I$37000,"1*",'Accounting data'!$J$2:$J$37000,"21*",'Accounting data'!$K$2:$K$37000,"62*")+SUMIFS('Accounting data'!$G$2:$G$37000,'Accounting data'!$H$2:$H$37000,"1500*",'Accounting data'!$I$2:$I$37000,"1*",'Accounting data'!$J$2:$J$37000,"21*",'Accounting data'!$K$2:$K$37000,"62*")</f>
        <v>866199</v>
      </c>
      <c r="F9" s="603">
        <f>SUMIFS('Accounting data'!$G$2:$G$37000,'Accounting data'!$H$2:$H$37000,"1000*",'Accounting data'!$I$2:$I$37000,"1*",'Accounting data'!$J$2:$J$37000,"21*",'Accounting data'!$K$2:$K$37000,"63*")+SUMIFS('Accounting data'!$G$2:$G$37000,'Accounting data'!$H$2:$H$37000,"1500*",'Accounting data'!$I$2:$I$37000,"1*",'Accounting data'!$J$2:$J$37000,"21*",'Accounting data'!$K$2:$K$37000,"63*")</f>
        <v>131275</v>
      </c>
      <c r="G9" s="603">
        <f>SUMIFS('Accounting data'!$G$2:$G$37000,'Accounting data'!$H$2:$H$37000,"1000*",'Accounting data'!$I$2:$I$37000,"1*",'Accounting data'!$J$2:$J$37000,"21*",'Accounting data'!$K$2:$K$37000,"66*")+SUMIFS('Accounting data'!$G$2:$G$37000,'Accounting data'!$H$2:$H$37000,"1500*",'Accounting data'!$I$2:$I$37000,"1*",'Accounting data'!$J$2:$J$37000,"21*",'Accounting data'!$K$2:$K$37000,"66*")</f>
        <v>2045</v>
      </c>
      <c r="H9" s="603">
        <f>SUMIFS('Accounting data'!$G$2:$G$37000,'Accounting data'!$H$2:$H$37000,"1000*",'Accounting data'!$I$2:$I$37000,"1*",'Accounting data'!$J$2:$J$37000,"21*",'Accounting data'!$K$2:$K$37000,"68*")+SUMIFS('Accounting data'!$G$2:$G$37000,'Accounting data'!$H$2:$H$37000,"1500*",'Accounting data'!$I$2:$I$37000,"1*",'Accounting data'!$J$2:$J$37000,"21*",'Accounting data'!$K$2:$K$37000,"68*")</f>
        <v>8553</v>
      </c>
      <c r="I9" s="603">
        <f>[3]!SP1000P100F2100</f>
        <v>4083186</v>
      </c>
      <c r="J9" s="603">
        <f>SUM(D9:H9)</f>
        <v>4530884</v>
      </c>
      <c r="K9" s="603">
        <f>[4]!SP1000P100F2100</f>
        <v>3673150</v>
      </c>
      <c r="L9" s="739"/>
      <c r="M9" s="90" t="s">
        <v>26</v>
      </c>
      <c r="N9" s="747" t="str">
        <f>IF('Page 2'!J48=0,"",IF(OR('Page 2'!J9&lt;=0),"The Charter did not report any expenses for student support services on line 2. If the Charter did not have any expense, verify by checking the box in A10 on the Cover Page.",""))</f>
        <v/>
      </c>
      <c r="O9" s="747"/>
      <c r="P9" s="747"/>
      <c r="Q9" s="747"/>
      <c r="R9" s="747"/>
      <c r="S9" s="747"/>
      <c r="T9" s="747"/>
      <c r="U9" s="747"/>
      <c r="V9" s="747"/>
      <c r="W9" s="747"/>
      <c r="X9" s="747"/>
      <c r="Y9" s="747"/>
      <c r="Z9" s="747"/>
      <c r="AA9" s="747"/>
      <c r="AB9" s="747"/>
      <c r="AC9" s="747"/>
      <c r="AD9" s="747"/>
      <c r="AE9" s="747"/>
      <c r="AF9" s="747"/>
    </row>
    <row r="10" spans="1:32" ht="12" customHeight="1" x14ac:dyDescent="0.2">
      <c r="A10" s="88" t="s">
        <v>107</v>
      </c>
      <c r="C10" s="89" t="s">
        <v>28</v>
      </c>
      <c r="D10" s="599">
        <f>SUMIFS('Accounting data'!$G$2:$G$37000,'Accounting data'!$H$2:$H$37000,"1000*",'Accounting data'!$I$2:$I$37000,"1*",'Accounting data'!$J$2:$J$37000,"22*",'Accounting data'!$K$2:$K$37000,"61*")+SUMIFS('Accounting data'!$G$2:$G$37000,'Accounting data'!$H$2:$H$37000,"1500*",'Accounting data'!$I$2:$I$37000,"1*",'Accounting data'!$J$2:$J$37000,"22*",'Accounting data'!$K$2:$K$37000,"61*")</f>
        <v>1265324</v>
      </c>
      <c r="E10" s="599">
        <f>SUMIFS('Accounting data'!$G$2:$G$37000,'Accounting data'!$H$2:$H$37000,"1000*",'Accounting data'!$I$2:$I$37000,"1*",'Accounting data'!$J$2:$J$37000,"22*",'Accounting data'!$K$2:$K$37000,"62*")+SUMIFS('Accounting data'!$G$2:$G$37000,'Accounting data'!$H$2:$H$37000,"1500*",'Accounting data'!$I$2:$I$37000,"1*",'Accounting data'!$J$2:$J$37000,"22*",'Accounting data'!$K$2:$K$37000,"62*")</f>
        <v>339845</v>
      </c>
      <c r="F10" s="599">
        <f>SUMIFS('Accounting data'!$G$2:$G$37000,'Accounting data'!$H$2:$H$37000,"1000*",'Accounting data'!$I$2:$I$37000,"1*",'Accounting data'!$J$2:$J$37000,"22*",'Accounting data'!$K$2:$K$37000,"63*")+SUMIFS('Accounting data'!$G$2:$G$37000,'Accounting data'!$H$2:$H$37000,"1500*",'Accounting data'!$I$2:$I$37000,"1*",'Accounting data'!$J$2:$J$37000,"22*",'Accounting data'!$K$2:$K$37000,"63*")</f>
        <v>111177</v>
      </c>
      <c r="G10" s="599">
        <f>SUMIFS('Accounting data'!$G$2:$G$37000,'Accounting data'!$H$2:$H$37000,"1000*",'Accounting data'!$I$2:$I$37000,"1*",'Accounting data'!$J$2:$J$37000,"22*",'Accounting data'!$K$2:$K$37000,"66*")+SUMIFS('Accounting data'!$G$2:$G$37000,'Accounting data'!$H$2:$H$37000,"1500*",'Accounting data'!$I$2:$I$37000,"1*",'Accounting data'!$J$2:$J$37000,"22*",'Accounting data'!$K$2:$K$37000,"66*")</f>
        <v>12337</v>
      </c>
      <c r="H10" s="599">
        <f>SUMIFS('Accounting data'!$G$2:$G$37000,'Accounting data'!$H$2:$H$37000,"1000*",'Accounting data'!$I$2:$I$37000,"1*",'Accounting data'!$J$2:$J$37000,"22*",'Accounting data'!$K$2:$K$37000,"68*")+SUMIFS('Accounting data'!$G$2:$G$37000,'Accounting data'!$H$2:$H$37000,"1500*",'Accounting data'!$I$2:$I$37000,"1*",'Accounting data'!$J$2:$J$37000,"22*",'Accounting data'!$K$2:$K$37000,"68*")</f>
        <v>2308</v>
      </c>
      <c r="I10" s="598">
        <f>[3]!SP1000P100F2200</f>
        <v>1472208</v>
      </c>
      <c r="J10" s="600">
        <f t="shared" ref="J10:J22" si="0">SUM(D10:H10)</f>
        <v>1730991</v>
      </c>
      <c r="K10" s="598">
        <f>[4]!SP1000P100F2200</f>
        <v>1484804</v>
      </c>
      <c r="L10" s="601">
        <f t="shared" ref="L10:L20" si="1">IF(J10=K10,0,IF(K10&gt;0,(J10-K10)/K10,"--"))</f>
        <v>0.1658</v>
      </c>
      <c r="M10" s="90" t="s">
        <v>28</v>
      </c>
      <c r="N10" s="747" t="str">
        <f>IF('Page 2'!J48=0,"",IF(OR('Page 2'!J10&lt;=0),"The Charter did not report any expenses for instructional support services on line 3. If the Charter did not have any expense, verify by checking the box in A12 on the Cover Page.",""))</f>
        <v/>
      </c>
      <c r="O10" s="747"/>
      <c r="P10" s="747"/>
      <c r="Q10" s="747"/>
      <c r="R10" s="747"/>
      <c r="S10" s="747"/>
      <c r="T10" s="747"/>
      <c r="U10" s="747"/>
      <c r="V10" s="747"/>
      <c r="W10" s="747"/>
      <c r="X10" s="747"/>
      <c r="Y10" s="747"/>
      <c r="Z10" s="747"/>
      <c r="AA10" s="747"/>
      <c r="AB10" s="747"/>
      <c r="AC10" s="747"/>
      <c r="AD10" s="747"/>
      <c r="AE10" s="747"/>
      <c r="AF10" s="747"/>
    </row>
    <row r="11" spans="1:32" ht="12" customHeight="1" x14ac:dyDescent="0.2">
      <c r="A11" s="88" t="s">
        <v>108</v>
      </c>
      <c r="C11" s="89" t="s">
        <v>31</v>
      </c>
      <c r="D11" s="599">
        <f>SUMIFS('Accounting data'!$G$2:$G$37000,'Accounting data'!$H$2:$H$37000,"1000*",'Accounting data'!$I$2:$I$37000,"1*",'Accounting data'!$J$2:$J$37000,"23*",'Accounting data'!$K$2:$K$37000,"61*")+SUMIFS('Accounting data'!$G$2:$G$37000,'Accounting data'!$H$2:$H$37000,"1500*",'Accounting data'!$I$2:$I$37000,"1*",'Accounting data'!$J$2:$J$37000,"23*",'Accounting data'!$K$2:$K$37000,"61*")</f>
        <v>382259</v>
      </c>
      <c r="E11" s="599">
        <f>SUMIFS('Accounting data'!$G$2:$G$37000,'Accounting data'!$H$2:$H$37000,"1000*",'Accounting data'!$I$2:$I$37000,"1*",'Accounting data'!$J$2:$J$37000,"23*",'Accounting data'!$K$2:$K$37000,"62*")+SUMIFS('Accounting data'!$G$2:$G$37000,'Accounting data'!$H$2:$H$37000,"1500*",'Accounting data'!$I$2:$I$37000,"1*",'Accounting data'!$J$2:$J$37000,"23*",'Accounting data'!$K$2:$K$37000,"62*")</f>
        <v>81981</v>
      </c>
      <c r="F11" s="599">
        <f>SUMIFS('Accounting data'!$G$2:$G$37000,'Accounting data'!$H$2:$H$37000,"1000*",'Accounting data'!$I$2:$I$37000,"1*",'Accounting data'!$J$2:$J$37000,"23*",'Accounting data'!$K$2:$K$37000,"63*")+SUMIFS('Accounting data'!$G$2:$G$37000,'Accounting data'!$H$2:$H$37000,"1500*",'Accounting data'!$I$2:$I$37000,"1*",'Accounting data'!$J$2:$J$37000,"23*",'Accounting data'!$K$2:$K$37000,"63*")</f>
        <v>53236</v>
      </c>
      <c r="G11" s="599">
        <f>SUMIFS('Accounting data'!$G$2:$G$37000,'Accounting data'!$H$2:$H$37000,"1000*",'Accounting data'!$I$2:$I$37000,"1*",'Accounting data'!$J$2:$J$37000,"23*",'Accounting data'!$K$2:$K$37000,"66*")+SUMIFS('Accounting data'!$G$2:$G$37000,'Accounting data'!$H$2:$H$37000,"1500*",'Accounting data'!$I$2:$I$37000,"1*",'Accounting data'!$J$2:$J$37000,"23*",'Accounting data'!$K$2:$K$37000,"66*")</f>
        <v>6716</v>
      </c>
      <c r="H11" s="599">
        <f>SUMIFS('Accounting data'!$G$2:$G$37000,'Accounting data'!$H$2:$H$37000,"1000*",'Accounting data'!$I$2:$I$37000,"1*",'Accounting data'!$J$2:$J$37000,"23*",'Accounting data'!$K$2:$K$37000,"68*")+SUMIFS('Accounting data'!$G$2:$G$37000,'Accounting data'!$H$2:$H$37000,"1500*",'Accounting data'!$I$2:$I$37000,"1*",'Accounting data'!$J$2:$J$37000,"23*",'Accounting data'!$K$2:$K$37000,"68*")</f>
        <v>8669</v>
      </c>
      <c r="I11" s="598">
        <f>[3]!SP1000P100F2300</f>
        <v>430165</v>
      </c>
      <c r="J11" s="600">
        <f t="shared" si="0"/>
        <v>532861</v>
      </c>
      <c r="K11" s="598">
        <f>[4]!SP1000P100F2300</f>
        <v>448971</v>
      </c>
      <c r="L11" s="601">
        <f t="shared" si="1"/>
        <v>0.18679999999999999</v>
      </c>
      <c r="M11" s="90" t="s">
        <v>31</v>
      </c>
      <c r="N11" s="4"/>
      <c r="O11" s="4"/>
      <c r="P11" s="4"/>
      <c r="Q11" s="4"/>
      <c r="R11" s="4"/>
      <c r="S11" s="4"/>
      <c r="T11" s="4"/>
      <c r="U11" s="4"/>
    </row>
    <row r="12" spans="1:32" ht="12" customHeight="1" x14ac:dyDescent="0.2">
      <c r="A12" s="88" t="s">
        <v>109</v>
      </c>
      <c r="C12" s="89" t="s">
        <v>33</v>
      </c>
      <c r="D12" s="599">
        <f>SUMIFS('Accounting data'!$G$2:$G$37000,'Accounting data'!$H$2:$H$37000,"1000*",'Accounting data'!$I$2:$I$37000,"1*",'Accounting data'!$J$2:$J$37000,"24*",'Accounting data'!$K$2:$K$37000,"61*")+SUMIFS('Accounting data'!$G$2:$G$37000,'Accounting data'!$H$2:$H$37000,"1500*",'Accounting data'!$I$2:$I$37000,"1*",'Accounting data'!$J$2:$J$37000,"24*",'Accounting data'!$K$2:$K$37000,"61*")</f>
        <v>955171</v>
      </c>
      <c r="E12" s="599">
        <f>SUMIFS('Accounting data'!$G$2:$G$37000,'Accounting data'!$H$2:$H$37000,"1000*",'Accounting data'!$I$2:$I$37000,"1*",'Accounting data'!$J$2:$J$37000,"24*",'Accounting data'!$K$2:$K$37000,"62*")+SUMIFS('Accounting data'!$G$2:$G$37000,'Accounting data'!$H$2:$H$37000,"1500*",'Accounting data'!$I$2:$I$37000,"1*",'Accounting data'!$J$2:$J$37000,"24*",'Accounting data'!$K$2:$K$37000,"62*")</f>
        <v>229378</v>
      </c>
      <c r="F12" s="599">
        <f>SUMIFS('Accounting data'!$G$2:$G$37000,'Accounting data'!$H$2:$H$37000,"1000*",'Accounting data'!$I$2:$I$37000,"1*",'Accounting data'!$J$2:$J$37000,"24*",'Accounting data'!$K$2:$K$37000,"63*")+SUMIFS('Accounting data'!$G$2:$G$37000,'Accounting data'!$H$2:$H$37000,"1500*",'Accounting data'!$I$2:$I$37000,"1*",'Accounting data'!$J$2:$J$37000,"24*",'Accounting data'!$K$2:$K$37000,"63*")</f>
        <v>47011</v>
      </c>
      <c r="G12" s="599">
        <f>SUMIFS('Accounting data'!$G$2:$G$37000,'Accounting data'!$H$2:$H$37000,"1000*",'Accounting data'!$I$2:$I$37000,"1*",'Accounting data'!$J$2:$J$37000,"24*",'Accounting data'!$K$2:$K$37000,"66*")+SUMIFS('Accounting data'!$G$2:$G$37000,'Accounting data'!$H$2:$H$37000,"1500*",'Accounting data'!$I$2:$I$37000,"1*",'Accounting data'!$J$2:$J$37000,"24*",'Accounting data'!$K$2:$K$37000,"66*")</f>
        <v>14765</v>
      </c>
      <c r="H12" s="599">
        <f>SUMIFS('Accounting data'!$G$2:$G$37000,'Accounting data'!$H$2:$H$37000,"1000*",'Accounting data'!$I$2:$I$37000,"1*",'Accounting data'!$J$2:$J$37000,"24*",'Accounting data'!$K$2:$K$37000,"68*")+SUMIFS('Accounting data'!$G$2:$G$37000,'Accounting data'!$H$2:$H$37000,"1500*",'Accounting data'!$I$2:$I$37000,"1*",'Accounting data'!$J$2:$J$37000,"24*",'Accounting data'!$K$2:$K$37000,"68*")</f>
        <v>20646</v>
      </c>
      <c r="I12" s="598">
        <f>[3]!SP1000P100F2400</f>
        <v>1254814</v>
      </c>
      <c r="J12" s="600">
        <f t="shared" si="0"/>
        <v>1266971</v>
      </c>
      <c r="K12" s="598">
        <f>[4]!SP1000P100F2400</f>
        <v>1159884</v>
      </c>
      <c r="L12" s="601">
        <f t="shared" si="1"/>
        <v>9.2299999999999993E-2</v>
      </c>
      <c r="M12" s="90" t="s">
        <v>33</v>
      </c>
    </row>
    <row r="13" spans="1:32" ht="12" customHeight="1" x14ac:dyDescent="0.2">
      <c r="A13" s="88" t="s">
        <v>110</v>
      </c>
      <c r="C13" s="89" t="s">
        <v>35</v>
      </c>
      <c r="D13" s="599">
        <f>SUMIFS('Accounting data'!$G$2:$G$37000,'Accounting data'!$H$2:$H$37000,"1000*",'Accounting data'!$I$2:$I$37000,"1*",'Accounting data'!$J$2:$J$37000,"25*",'Accounting data'!$K$2:$K$37000,"61*")+SUMIFS('Accounting data'!$G$2:$G$37000,'Accounting data'!$H$2:$H$37000,"1500*",'Accounting data'!$I$2:$I$37000,"1*",'Accounting data'!$J$2:$J$37000,"25*",'Accounting data'!$K$2:$K$37000,"61*")</f>
        <v>3568225</v>
      </c>
      <c r="E13" s="599">
        <f>SUMIFS('Accounting data'!$G$2:$G$37000,'Accounting data'!$H$2:$H$37000,"1000*",'Accounting data'!$I$2:$I$37000,"1*",'Accounting data'!$J$2:$J$37000,"25*",'Accounting data'!$K$2:$K$37000,"62*")+SUMIFS('Accounting data'!$G$2:$G$37000,'Accounting data'!$H$2:$H$37000,"1500*",'Accounting data'!$I$2:$I$37000,"1*",'Accounting data'!$J$2:$J$37000,"25*",'Accounting data'!$K$2:$K$37000,"62*")</f>
        <v>2550060</v>
      </c>
      <c r="F13" s="599">
        <f>SUMIFS('Accounting data'!$G$2:$G$37000,'Accounting data'!$H$2:$H$37000,"1000*",'Accounting data'!$I$2:$I$37000,"1*",'Accounting data'!$J$2:$J$37000,"25*",'Accounting data'!$K$2:$K$37000,"63*")+SUMIFS('Accounting data'!$G$2:$G$37000,'Accounting data'!$H$2:$H$37000,"1500*",'Accounting data'!$I$2:$I$37000,"1*",'Accounting data'!$J$2:$J$37000,"25*",'Accounting data'!$K$2:$K$37000,"63*")</f>
        <v>4097538</v>
      </c>
      <c r="G13" s="599">
        <f>SUMIFS('Accounting data'!$G$2:$G$37000,'Accounting data'!$H$2:$H$37000,"1000*",'Accounting data'!$I$2:$I$37000,"1*",'Accounting data'!$J$2:$J$37000,"25*",'Accounting data'!$K$2:$K$37000,"66*")+SUMIFS('Accounting data'!$G$2:$G$37000,'Accounting data'!$H$2:$H$37000,"1500*",'Accounting data'!$I$2:$I$37000,"1*",'Accounting data'!$J$2:$J$37000,"25*",'Accounting data'!$K$2:$K$37000,"66*")</f>
        <v>54895</v>
      </c>
      <c r="H13" s="599">
        <f>SUMIFS('Accounting data'!$G$2:$G$37000,'Accounting data'!$H$2:$H$37000,"1000*",'Accounting data'!$I$2:$I$37000,"1*",'Accounting data'!$J$2:$J$37000,"25*",'Accounting data'!$K$2:$K$37000,"68*")+SUMIFS('Accounting data'!$G$2:$G$37000,'Accounting data'!$H$2:$H$37000,"1500*",'Accounting data'!$I$2:$I$37000,"1*",'Accounting data'!$J$2:$J$37000,"25*",'Accounting data'!$K$2:$K$37000,"68*")</f>
        <v>1779143</v>
      </c>
      <c r="I13" s="598">
        <f>[3]!SP1000P100F2500</f>
        <v>13817882</v>
      </c>
      <c r="J13" s="600">
        <f t="shared" si="0"/>
        <v>12049861</v>
      </c>
      <c r="K13" s="598">
        <f>[4]!SP1000P100F2500</f>
        <v>13076549</v>
      </c>
      <c r="L13" s="601">
        <f t="shared" si="1"/>
        <v>-7.85E-2</v>
      </c>
      <c r="M13" s="90" t="s">
        <v>35</v>
      </c>
    </row>
    <row r="14" spans="1:32" ht="12" customHeight="1" x14ac:dyDescent="0.2">
      <c r="A14" s="88" t="s">
        <v>111</v>
      </c>
      <c r="C14" s="89" t="s">
        <v>37</v>
      </c>
      <c r="D14" s="599">
        <f>SUMIFS('Accounting data'!$G$2:$G$37000,'Accounting data'!$H$2:$H$37000,"1000*",'Accounting data'!$I$2:$I$37000,"1*",'Accounting data'!$J$2:$J$37000,"26*",'Accounting data'!$K$2:$K$37000,"61*")+SUMIFS('Accounting data'!$G$2:$G$37000,'Accounting data'!$H$2:$H$37000,"1500*",'Accounting data'!$I$2:$I$37000,"1*",'Accounting data'!$J$2:$J$37000,"26*",'Accounting data'!$K$2:$K$37000,"61*")</f>
        <v>99762</v>
      </c>
      <c r="E14" s="599">
        <f>SUMIFS('Accounting data'!$G$2:$G$37000,'Accounting data'!$H$2:$H$37000,"1000*",'Accounting data'!$I$2:$I$37000,"1*",'Accounting data'!$J$2:$J$37000,"26*",'Accounting data'!$K$2:$K$37000,"62*")+SUMIFS('Accounting data'!$G$2:$G$37000,'Accounting data'!$H$2:$H$37000,"1500*",'Accounting data'!$I$2:$I$37000,"1*",'Accounting data'!$J$2:$J$37000,"26*",'Accounting data'!$K$2:$K$37000,"62*")</f>
        <v>26115</v>
      </c>
      <c r="F14" s="599">
        <f>SUMIFS('Accounting data'!$G$2:$G$37000,'Accounting data'!$H$2:$H$37000,"1000*",'Accounting data'!$I$2:$I$37000,"1*",'Accounting data'!$J$2:$J$37000,"26*",'Accounting data'!$K$2:$K$37000,"63*")+SUMIFS('Accounting data'!$G$2:$G$37000,'Accounting data'!$H$2:$H$37000,"1500*",'Accounting data'!$I$2:$I$37000,"1*",'Accounting data'!$J$2:$J$37000,"26*",'Accounting data'!$K$2:$K$37000,"63*")</f>
        <v>293801</v>
      </c>
      <c r="G14" s="599">
        <f>SUMIFS('Accounting data'!$G$2:$G$37000,'Accounting data'!$H$2:$H$37000,"1000*",'Accounting data'!$I$2:$I$37000,"1*",'Accounting data'!$J$2:$J$37000,"26*",'Accounting data'!$K$2:$K$37000,"66*")+SUMIFS('Accounting data'!$G$2:$G$37000,'Accounting data'!$H$2:$H$37000,"1500*",'Accounting data'!$I$2:$I$37000,"1*",'Accounting data'!$J$2:$J$37000,"26*",'Accounting data'!$K$2:$K$37000,"66*")</f>
        <v>4822</v>
      </c>
      <c r="H14" s="599">
        <f>SUMIFS('Accounting data'!$G$2:$G$37000,'Accounting data'!$H$2:$H$37000,"1000*",'Accounting data'!$I$2:$I$37000,"1*",'Accounting data'!$J$2:$J$37000,"26*",'Accounting data'!$K$2:$K$37000,"68*")+SUMIFS('Accounting data'!$G$2:$G$37000,'Accounting data'!$H$2:$H$37000,"1500*",'Accounting data'!$I$2:$I$37000,"1*",'Accounting data'!$J$2:$J$37000,"26*",'Accounting data'!$K$2:$K$37000,"68*")</f>
        <v>0</v>
      </c>
      <c r="I14" s="598">
        <f>[3]!SP1000P100F2600</f>
        <v>325878</v>
      </c>
      <c r="J14" s="600">
        <f t="shared" si="0"/>
        <v>424500</v>
      </c>
      <c r="K14" s="598">
        <f>[4]!SP1000P100F2600</f>
        <v>355570</v>
      </c>
      <c r="L14" s="601">
        <f t="shared" si="1"/>
        <v>0.19389999999999999</v>
      </c>
      <c r="M14" s="90" t="s">
        <v>37</v>
      </c>
    </row>
    <row r="15" spans="1:32" ht="12" customHeight="1" x14ac:dyDescent="0.2">
      <c r="A15" s="88" t="s">
        <v>112</v>
      </c>
      <c r="C15" s="89" t="s">
        <v>39</v>
      </c>
      <c r="D15" s="599">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9">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9">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9">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9">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8">
        <f>[3]!SP1000P100F2900</f>
        <v>1008</v>
      </c>
      <c r="J15" s="600">
        <f t="shared" si="0"/>
        <v>0</v>
      </c>
      <c r="K15" s="598">
        <f>[4]!SP1000P100F2900</f>
        <v>0</v>
      </c>
      <c r="L15" s="601">
        <f t="shared" si="1"/>
        <v>0</v>
      </c>
      <c r="M15" s="90" t="s">
        <v>39</v>
      </c>
    </row>
    <row r="16" spans="1:32" ht="12" customHeight="1" x14ac:dyDescent="0.2">
      <c r="A16" s="88" t="s">
        <v>113</v>
      </c>
      <c r="C16" s="89" t="s">
        <v>41</v>
      </c>
      <c r="D16" s="599">
        <f>SUMIFS('Accounting data'!$G$2:$G$37000,'Accounting data'!$H$2:$H$37000,"1000*",'Accounting data'!$I$2:$I$37000,"1*",'Accounting data'!$J$2:$J$37000,"3*",'Accounting data'!$K$2:$K$37000,"61*")+SUMIFS('Accounting data'!$G$2:$G$37000,'Accounting data'!$H$2:$H$37000,"1500*",'Accounting data'!$I$2:$I$37000,"1*",'Accounting data'!$J$2:$J$37000,"3*",'Accounting data'!$K$2:$K$37000,"61*")</f>
        <v>430</v>
      </c>
      <c r="E16" s="599">
        <f>SUMIFS('Accounting data'!$G$2:$G$37000,'Accounting data'!$H$2:$H$37000,"1000*",'Accounting data'!$I$2:$I$37000,"1*",'Accounting data'!$J$2:$J$37000,"3*",'Accounting data'!$K$2:$K$37000,"62*")+SUMIFS('Accounting data'!$G$2:$G$37000,'Accounting data'!$H$2:$H$37000,"1500*",'Accounting data'!$I$2:$I$37000,"1*",'Accounting data'!$J$2:$J$37000,"3*",'Accounting data'!$K$2:$K$37000,"62*")</f>
        <v>2131</v>
      </c>
      <c r="F16" s="599">
        <f>SUMIFS('Accounting data'!$G$2:$G$37000,'Accounting data'!$H$2:$H$37000,"1000*",'Accounting data'!$I$2:$I$37000,"1*",'Accounting data'!$J$2:$J$37000,"3*",'Accounting data'!$K$2:$K$37000,"63*")+SUMIFS('Accounting data'!$G$2:$G$37000,'Accounting data'!$H$2:$H$37000,"1500*",'Accounting data'!$I$2:$I$37000,"1*",'Accounting data'!$J$2:$J$37000,"3*",'Accounting data'!$K$2:$K$37000,"63*")</f>
        <v>357</v>
      </c>
      <c r="G16" s="599">
        <f>SUMIFS('Accounting data'!$G$2:$G$37000,'Accounting data'!$H$2:$H$37000,"1000*",'Accounting data'!$I$2:$I$37000,"1*",'Accounting data'!$J$2:$J$37000,"3*",'Accounting data'!$K$2:$K$37000,"66*")+SUMIFS('Accounting data'!$G$2:$G$37000,'Accounting data'!$H$2:$H$37000,"1500*",'Accounting data'!$I$2:$I$37000,"1*",'Accounting data'!$J$2:$J$37000,"3*",'Accounting data'!$K$2:$K$37000,"66*")</f>
        <v>352</v>
      </c>
      <c r="H16" s="599">
        <f>SUMIFS('Accounting data'!$G$2:$G$37000,'Accounting data'!$H$2:$H$37000,"1000*",'Accounting data'!$I$2:$I$37000,"1*",'Accounting data'!$J$2:$J$37000,"3*",'Accounting data'!$K$2:$K$37000,"68*")+SUMIFS('Accounting data'!$G$2:$G$37000,'Accounting data'!$H$2:$H$37000,"1500*",'Accounting data'!$I$2:$I$37000,"1*",'Accounting data'!$J$2:$J$37000,"3*",'Accounting data'!$K$2:$K$37000,"68*")</f>
        <v>0</v>
      </c>
      <c r="I16" s="598">
        <f>[3]!SP1000P100F3000</f>
        <v>39940</v>
      </c>
      <c r="J16" s="600">
        <f t="shared" si="0"/>
        <v>3270</v>
      </c>
      <c r="K16" s="598">
        <f>[4]!SP1000P100F3000</f>
        <v>-1389</v>
      </c>
      <c r="L16" s="601" t="str">
        <f t="shared" si="1"/>
        <v>--</v>
      </c>
      <c r="M16" s="90" t="s">
        <v>41</v>
      </c>
    </row>
    <row r="17" spans="1:25" ht="12" customHeight="1" x14ac:dyDescent="0.2">
      <c r="A17" s="88" t="s">
        <v>114</v>
      </c>
      <c r="C17" s="89" t="s">
        <v>43</v>
      </c>
      <c r="D17" s="599">
        <f>SUMIFS('Accounting data'!$G$2:$G$37000,'Accounting data'!$H$2:$H$37000,"1000*",'Accounting data'!$I$2:$I$37000,"1*",'Accounting data'!$J$2:$J$37000,"4*",'Accounting data'!$K$2:$K$37000,"61*")+SUMIFS('Accounting data'!$G$2:$G$37000,'Accounting data'!$H$2:$H$37000,"1500*",'Accounting data'!$I$2:$I$37000,"1*",'Accounting data'!$J$2:$J$37000,"4*",'Accounting data'!$K$2:$K$37000,"61*")</f>
        <v>0</v>
      </c>
      <c r="E17" s="599">
        <f>SUMIFS('Accounting data'!$G$2:$G$37000,'Accounting data'!$H$2:$H$37000,"1000*",'Accounting data'!$I$2:$I$37000,"1*",'Accounting data'!$J$2:$J$37000,"4*",'Accounting data'!$K$2:$K$37000,"62*")+SUMIFS('Accounting data'!$G$2:$G$37000,'Accounting data'!$H$2:$H$37000,"1500*",'Accounting data'!$I$2:$I$37000,"1*",'Accounting data'!$J$2:$J$37000,"4*",'Accounting data'!$K$2:$K$37000,"62*")</f>
        <v>0</v>
      </c>
      <c r="F17" s="599">
        <f>SUMIFS('Accounting data'!$G$2:$G$37000,'Accounting data'!$H$2:$H$37000,"1000*",'Accounting data'!$I$2:$I$37000,"1*",'Accounting data'!$J$2:$J$37000,"4*",'Accounting data'!$K$2:$K$37000,"63*")+SUMIFS('Accounting data'!$G$2:$G$37000,'Accounting data'!$H$2:$H$37000,"1500*",'Accounting data'!$I$2:$I$37000,"1*",'Accounting data'!$J$2:$J$37000,"4*",'Accounting data'!$K$2:$K$37000,"63*")</f>
        <v>0</v>
      </c>
      <c r="G17" s="599">
        <f>SUMIFS('Accounting data'!$G$2:$G$37000,'Accounting data'!$H$2:$H$37000,"1000*",'Accounting data'!$I$2:$I$37000,"1*",'Accounting data'!$J$2:$J$37000,"4*",'Accounting data'!$K$2:$K$37000,"66*")+SUMIFS('Accounting data'!$G$2:$G$37000,'Accounting data'!$H$2:$H$37000,"1500*",'Accounting data'!$I$2:$I$37000,"1*",'Accounting data'!$J$2:$J$37000,"4*",'Accounting data'!$K$2:$K$37000,"66*")</f>
        <v>0</v>
      </c>
      <c r="H17" s="599">
        <f>SUMIFS('Accounting data'!$G$2:$G$37000,'Accounting data'!$H$2:$H$37000,"1000*",'Accounting data'!$I$2:$I$37000,"1*",'Accounting data'!$J$2:$J$37000,"4*",'Accounting data'!$K$2:$K$37000,"68*")+SUMIFS('Accounting data'!$G$2:$G$37000,'Accounting data'!$H$2:$H$37000,"1500*",'Accounting data'!$I$2:$I$37000,"1*",'Accounting data'!$J$2:$J$37000,"4*",'Accounting data'!$K$2:$K$37000,"68*")</f>
        <v>0</v>
      </c>
      <c r="I17" s="598">
        <f>[3]!SP1000P100F4000</f>
        <v>0</v>
      </c>
      <c r="J17" s="600">
        <f t="shared" si="0"/>
        <v>0</v>
      </c>
      <c r="K17" s="598">
        <f>[4]!SP1000P100F4000</f>
        <v>0</v>
      </c>
      <c r="L17" s="601">
        <f t="shared" si="1"/>
        <v>0</v>
      </c>
      <c r="M17" s="90" t="s">
        <v>43</v>
      </c>
    </row>
    <row r="18" spans="1:25" ht="12" customHeight="1" x14ac:dyDescent="0.2">
      <c r="A18" s="88" t="s">
        <v>115</v>
      </c>
      <c r="C18" s="89" t="s">
        <v>45</v>
      </c>
      <c r="D18" s="599">
        <f>SUMIFS('Accounting data'!$G$2:$G$37000,'Accounting data'!$H$2:$H$37000,"1000*",'Accounting data'!$I$2:$I$37000,"1*",'Accounting data'!$J$2:$J$37000,"5*",'Accounting data'!$K$2:$K$37000,"61*")+SUMIFS('Accounting data'!$G$2:$G$37000,'Accounting data'!$H$2:$H$37000,"1500*",'Accounting data'!$I$2:$I$37000,"1*",'Accounting data'!$J$2:$J$37000,"5*",'Accounting data'!$K$2:$K$37000,"61*")</f>
        <v>0</v>
      </c>
      <c r="E18" s="599">
        <f>SUMIFS('Accounting data'!$G$2:$G$37000,'Accounting data'!$H$2:$H$37000,"1000*",'Accounting data'!$I$2:$I$37000,"1*",'Accounting data'!$J$2:$J$37000,"5*",'Accounting data'!$K$2:$K$37000,"62*")+SUMIFS('Accounting data'!$G$2:$G$37000,'Accounting data'!$H$2:$H$37000,"1500*",'Accounting data'!$I$2:$I$37000,"1*",'Accounting data'!$J$2:$J$37000,"5*",'Accounting data'!$K$2:$K$37000,"62*")</f>
        <v>0</v>
      </c>
      <c r="F18" s="599">
        <f>SUMIFS('Accounting data'!$G$2:$G$37000,'Accounting data'!$H$2:$H$37000,"1000*",'Accounting data'!$I$2:$I$37000,"1*",'Accounting data'!$J$2:$J$37000,"5*",'Accounting data'!$K$2:$K$37000,"63*")+SUMIFS('Accounting data'!$G$2:$G$37000,'Accounting data'!$H$2:$H$37000,"1500*",'Accounting data'!$I$2:$I$37000,"1*",'Accounting data'!$J$2:$J$37000,"5*",'Accounting data'!$K$2:$K$37000,"63*")</f>
        <v>0</v>
      </c>
      <c r="G18" s="599">
        <f>SUMIFS('Accounting data'!$G$2:$G$37000,'Accounting data'!$H$2:$H$37000,"1000*",'Accounting data'!$I$2:$I$37000,"1*",'Accounting data'!$J$2:$J$37000,"5*",'Accounting data'!$K$2:$K$37000,"66*")+SUMIFS('Accounting data'!$G$2:$G$37000,'Accounting data'!$H$2:$H$37000,"1500*",'Accounting data'!$I$2:$I$37000,"1*",'Accounting data'!$J$2:$J$37000,"5*",'Accounting data'!$K$2:$K$37000,"66*")</f>
        <v>0</v>
      </c>
      <c r="H18" s="599">
        <f>SUMIFS('Accounting data'!$G$2:$G$37000,'Accounting data'!$H$2:$H$37000,"1000*",'Accounting data'!$I$2:$I$37000,"1*",'Accounting data'!$J$2:$J$37000,"5*",'Accounting data'!$K$2:$K$37000,"68*")+SUMIFS('Accounting data'!$G$2:$G$37000,'Accounting data'!$H$2:$H$37000,"1500*",'Accounting data'!$I$2:$I$37000,"1*",'Accounting data'!$J$2:$J$37000,"5*",'Accounting data'!$K$2:$K$37000,"68*")</f>
        <v>0</v>
      </c>
      <c r="I18" s="598">
        <f>[3]!SP1000P100F5000</f>
        <v>0</v>
      </c>
      <c r="J18" s="600">
        <f t="shared" si="0"/>
        <v>0</v>
      </c>
      <c r="K18" s="598">
        <f>[4]!SP1000P100F5000</f>
        <v>0</v>
      </c>
      <c r="L18" s="601">
        <f t="shared" si="1"/>
        <v>0</v>
      </c>
      <c r="M18" s="90" t="s">
        <v>45</v>
      </c>
    </row>
    <row r="19" spans="1:25" ht="12" customHeight="1" x14ac:dyDescent="0.2">
      <c r="A19" s="88" t="s">
        <v>116</v>
      </c>
      <c r="C19" s="89" t="s">
        <v>47</v>
      </c>
      <c r="D19" s="599">
        <f>SUMIFS('Accounting data'!$G$2:$G$37000,'Accounting data'!$H$2:$H$37000,"1000*",'Accounting data'!$I$2:$I$37000,"61*",'Accounting data'!$K$2:$K$37000,"61*")+SUMIFS('Accounting data'!$G$2:$G$37000,'Accounting data'!$H$2:$H$37000,"1500*",'Accounting data'!$I$2:$I$37000,"61*",'Accounting data'!$K$2:$K$37000,"61*")</f>
        <v>57792</v>
      </c>
      <c r="E19" s="599">
        <f>SUMIFS('Accounting data'!$G$2:$G$37000,'Accounting data'!$H$2:$H$37000,"1000*",'Accounting data'!$I$2:$I$37000,"61*",'Accounting data'!$K$2:$K$37000,"62*")+SUMIFS('Accounting data'!$G$2:$G$37000,'Accounting data'!$H$2:$H$37000,"1500*",'Accounting data'!$I$2:$I$37000,"61*",'Accounting data'!$K$2:$K$37000,"62*")</f>
        <v>13134</v>
      </c>
      <c r="F19" s="599">
        <f>SUMIFS('Accounting data'!$G$2:$G$37000,'Accounting data'!$H$2:$H$37000,"1000*",'Accounting data'!$I$2:$I$37000,"61*",'Accounting data'!$K$2:$K$37000,"63*")+SUMIFS('Accounting data'!$G$2:$G$37000,'Accounting data'!$H$2:$H$37000,"1500*",'Accounting data'!$I$2:$I$37000,"61*",'Accounting data'!$K$2:$K$37000,"63*")</f>
        <v>7541</v>
      </c>
      <c r="G19" s="599">
        <f>SUMIFS('Accounting data'!$G$2:$G$37000,'Accounting data'!$H$2:$H$37000,"1000*",'Accounting data'!$I$2:$I$37000,"61*",'Accounting data'!$K$2:$K$37000,"66*")+SUMIFS('Accounting data'!$G$2:$G$37000,'Accounting data'!$H$2:$H$37000,"1500*",'Accounting data'!$I$2:$I$37000,"61*",'Accounting data'!$K$2:$K$37000,"66*")</f>
        <v>3724</v>
      </c>
      <c r="H19" s="599">
        <f>SUMIFS('Accounting data'!$G$2:$G$37000,'Accounting data'!$H$2:$H$37000,"1000*",'Accounting data'!$I$2:$I$37000,"61*",'Accounting data'!$K$2:$K$37000,"68*")+SUMIFS('Accounting data'!$G$2:$G$37000,'Accounting data'!$H$2:$H$37000,"1500*",'Accounting data'!$I$2:$I$37000,"61*",'Accounting data'!$K$2:$K$37000,"68*")</f>
        <v>1155</v>
      </c>
      <c r="I19" s="598">
        <f>[3]!SP1000P610</f>
        <v>46589</v>
      </c>
      <c r="J19" s="600">
        <f t="shared" si="0"/>
        <v>83346</v>
      </c>
      <c r="K19" s="598">
        <f>[4]!SP1000P610</f>
        <v>52939</v>
      </c>
      <c r="L19" s="601">
        <f t="shared" si="1"/>
        <v>0.57440000000000002</v>
      </c>
      <c r="M19" s="90" t="s">
        <v>47</v>
      </c>
    </row>
    <row r="20" spans="1:25" ht="12" customHeight="1" x14ac:dyDescent="0.2">
      <c r="A20" s="88" t="s">
        <v>117</v>
      </c>
      <c r="C20" s="89" t="s">
        <v>49</v>
      </c>
      <c r="D20" s="599">
        <f>SUMIFS('Accounting data'!$G$2:$G$37000,'Accounting data'!$H$2:$H$37000,"1000*",'Accounting data'!$I$2:$I$37000,"62*",'Accounting data'!$K$2:$K$37000,"61*")+SUMIFS('Accounting data'!$G$2:$G$37000,'Accounting data'!$H$2:$H$37000,"1500*",'Accounting data'!$I$2:$I$37000,"62*",'Accounting data'!$K$2:$K$37000,"61*")</f>
        <v>0</v>
      </c>
      <c r="E20" s="599">
        <f>SUMIFS('Accounting data'!$G$2:$G$37000,'Accounting data'!$H$2:$H$37000,"1000*",'Accounting data'!$I$2:$I$37000,"62*",'Accounting data'!$K$2:$K$37000,"62*")+SUMIFS('Accounting data'!$G$2:$G$37000,'Accounting data'!$H$2:$H$37000,"1500*",'Accounting data'!$I$2:$I$37000,"62*",'Accounting data'!$K$2:$K$37000,"62*")</f>
        <v>0</v>
      </c>
      <c r="F20" s="599">
        <f>SUMIFS('Accounting data'!$G$2:$G$37000,'Accounting data'!$H$2:$H$37000,"1000*",'Accounting data'!$I$2:$I$37000,"62*",'Accounting data'!$K$2:$K$37000,"63*")+SUMIFS('Accounting data'!$G$2:$G$37000,'Accounting data'!$H$2:$H$37000,"1500*",'Accounting data'!$I$2:$I$37000,"62*",'Accounting data'!$K$2:$K$37000,"63*")</f>
        <v>0</v>
      </c>
      <c r="G20" s="599">
        <f>SUMIFS('Accounting data'!$G$2:$G$37000,'Accounting data'!$H$2:$H$37000,"1000*",'Accounting data'!$I$2:$I$37000,"62*",'Accounting data'!$K$2:$K$37000,"66*")+SUMIFS('Accounting data'!$G$2:$G$37000,'Accounting data'!$H$2:$H$37000,"1500*",'Accounting data'!$I$2:$I$37000,"62*",'Accounting data'!$K$2:$K$37000,"66*")</f>
        <v>0</v>
      </c>
      <c r="H20" s="599">
        <f>SUMIFS('Accounting data'!$G$2:$G$37000,'Accounting data'!$H$2:$H$37000,"1000*",'Accounting data'!$I$2:$I$37000,"62*",'Accounting data'!$K$2:$K$37000,"68*")+SUMIFS('Accounting data'!$G$2:$G$37000,'Accounting data'!$H$2:$H$37000,"1500*",'Accounting data'!$I$2:$I$37000,"62*",'Accounting data'!$K$2:$K$37000,"68*")</f>
        <v>0</v>
      </c>
      <c r="I20" s="598">
        <f>[3]!SP1000P620</f>
        <v>0</v>
      </c>
      <c r="J20" s="600">
        <f t="shared" si="0"/>
        <v>0</v>
      </c>
      <c r="K20" s="598">
        <f>[4]!SP1000P620</f>
        <v>0</v>
      </c>
      <c r="L20" s="601">
        <f t="shared" si="1"/>
        <v>0</v>
      </c>
      <c r="M20" s="90" t="s">
        <v>49</v>
      </c>
    </row>
    <row r="21" spans="1:25" ht="12" customHeight="1" x14ac:dyDescent="0.2">
      <c r="A21" s="88" t="s">
        <v>118</v>
      </c>
      <c r="C21" s="89" t="s">
        <v>51</v>
      </c>
      <c r="D21" s="599">
        <f>SUMIFS('Accounting data'!$G$2:$G$37000,'Accounting data'!$H$2:$H$37000,"1000*",'Accounting data'!$I$2:$I$37000,"63*",'Accounting data'!$K$2:$K$37000,"61*")+SUMIFS('Accounting data'!$G$2:$G$37000,'Accounting data'!$H$2:$H$37000,"1500*",'Accounting data'!$I$2:$I$37000,"63*",'Accounting data'!$K$2:$K$37000,"61*")</f>
        <v>0</v>
      </c>
      <c r="E21" s="599">
        <f>SUMIFS('Accounting data'!$G$2:$G$37000,'Accounting data'!$H$2:$H$37000,"1000*",'Accounting data'!$I$2:$I$37000,"63*",'Accounting data'!$K$2:$K$37000,"62*")+SUMIFS('Accounting data'!$G$2:$G$37000,'Accounting data'!$H$2:$H$37000,"1500*",'Accounting data'!$I$2:$I$37000,"63*",'Accounting data'!$K$2:$K$37000,"62*")</f>
        <v>0</v>
      </c>
      <c r="F21" s="599">
        <f>SUMIFS('Accounting data'!$G$2:$G$37000,'Accounting data'!$H$2:$H$37000,"1000*",'Accounting data'!$I$2:$I$37000,"63*",'Accounting data'!$K$2:$K$37000,"63*")+SUMIFS('Accounting data'!$G$2:$G$37000,'Accounting data'!$H$2:$H$37000,"1500*",'Accounting data'!$I$2:$I$37000,"63*",'Accounting data'!$K$2:$K$37000,"63*")</f>
        <v>1100</v>
      </c>
      <c r="G21" s="599">
        <f>SUMIFS('Accounting data'!$G$2:$G$37000,'Accounting data'!$H$2:$H$37000,"1000*",'Accounting data'!$I$2:$I$37000,"63*",'Accounting data'!$K$2:$K$37000,"66*")+SUMIFS('Accounting data'!$G$2:$G$37000,'Accounting data'!$H$2:$H$37000,"1500*",'Accounting data'!$I$2:$I$37000,"63*",'Accounting data'!$K$2:$K$37000,"66*")</f>
        <v>483</v>
      </c>
      <c r="H21" s="669">
        <f>SUMIFS('Accounting data'!$G$2:$G$37000,'Accounting data'!$H$2:$H$37000,"1000*",'Accounting data'!$I$2:$I$37000,"63*",'Accounting data'!$K$2:$K$37000,"68*")+SUMIFS('Accounting data'!$G$2:$G$37000,'Accounting data'!$H$2:$H$37000,"1500*",'Accounting data'!$I$2:$I$37000,"63*",'Accounting data'!$K$2:$K$37000,"68*")</f>
        <v>0</v>
      </c>
      <c r="I21" s="745">
        <f>[3]!SP1000P630700800900</f>
        <v>0</v>
      </c>
      <c r="J21" s="670">
        <f t="shared" si="0"/>
        <v>1583</v>
      </c>
      <c r="K21" s="598">
        <f>'[4]Page 2'!$J$21</f>
        <v>0</v>
      </c>
      <c r="L21" s="738" t="str">
        <f>IF(J21+J22=K22,0,IF(K22&gt;0,(J21+J22-K22)/K22,"--"))</f>
        <v>--</v>
      </c>
      <c r="M21" s="64" t="s">
        <v>51</v>
      </c>
    </row>
    <row r="22" spans="1:25" ht="12" customHeight="1" x14ac:dyDescent="0.2">
      <c r="A22" s="88" t="s">
        <v>119</v>
      </c>
      <c r="C22" s="89" t="s">
        <v>53</v>
      </c>
      <c r="D22" s="599">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9">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9">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9">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9">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46"/>
      <c r="J22" s="600">
        <f t="shared" si="0"/>
        <v>0</v>
      </c>
      <c r="K22" s="598">
        <f>[4]!SP1000P630700800900</f>
        <v>0</v>
      </c>
      <c r="L22" s="740"/>
      <c r="M22" s="64" t="s">
        <v>53</v>
      </c>
    </row>
    <row r="23" spans="1:25" ht="12" customHeight="1" x14ac:dyDescent="0.2">
      <c r="A23" s="92" t="s">
        <v>120</v>
      </c>
      <c r="B23" s="2"/>
      <c r="C23" s="93" t="s">
        <v>55</v>
      </c>
      <c r="D23" s="599">
        <f t="shared" ref="D23:H23" si="2">SUM(D6:D22)</f>
        <v>15439922</v>
      </c>
      <c r="E23" s="599">
        <f t="shared" si="2"/>
        <v>5461674</v>
      </c>
      <c r="F23" s="599">
        <f t="shared" si="2"/>
        <v>5082082</v>
      </c>
      <c r="G23" s="599">
        <f t="shared" si="2"/>
        <v>530608</v>
      </c>
      <c r="H23" s="599">
        <f t="shared" si="2"/>
        <v>2937165</v>
      </c>
      <c r="I23" s="600">
        <f>SUM(I7:I22)</f>
        <v>30450728</v>
      </c>
      <c r="J23" s="600">
        <f>SUM(J7:J22)</f>
        <v>29451451</v>
      </c>
      <c r="K23" s="600">
        <f>SUM(K7:K22)</f>
        <v>27596584</v>
      </c>
      <c r="L23" s="601">
        <f>IF(J23=K23,0,IF(K23&gt;0,(J23-K23)/K23,"--"))</f>
        <v>6.7199999999999996E-2</v>
      </c>
      <c r="M23" s="64" t="s">
        <v>55</v>
      </c>
    </row>
    <row r="24" spans="1:25" ht="12" customHeight="1" x14ac:dyDescent="0.2">
      <c r="A24" s="94" t="s">
        <v>121</v>
      </c>
      <c r="C24" s="77"/>
      <c r="D24" s="87"/>
      <c r="E24" s="87"/>
      <c r="F24" s="87"/>
      <c r="G24" s="87"/>
      <c r="H24" s="87"/>
      <c r="I24" s="87"/>
      <c r="J24" s="87"/>
      <c r="K24" s="87"/>
      <c r="L24" s="738">
        <f>IF(J25=K25,0,IF(K25&gt;0,(J25-K25)/K25,"--"))</f>
        <v>1.3201000000000001</v>
      </c>
      <c r="M24" s="619"/>
    </row>
    <row r="25" spans="1:25" ht="12" customHeight="1" x14ac:dyDescent="0.2">
      <c r="A25" s="88" t="s">
        <v>122</v>
      </c>
      <c r="C25" s="89" t="s">
        <v>57</v>
      </c>
      <c r="D25" s="603">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685704</v>
      </c>
      <c r="E25" s="603">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161854</v>
      </c>
      <c r="F25" s="603">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4202</v>
      </c>
      <c r="G25" s="603">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2661</v>
      </c>
      <c r="H25" s="603">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3">
        <f>[3]!SP1000P200F1000</f>
        <v>316281</v>
      </c>
      <c r="J25" s="603">
        <f>SUM(D25:H25)</f>
        <v>854421</v>
      </c>
      <c r="K25" s="603">
        <f>[4]!SP1000P200F1000</f>
        <v>368275</v>
      </c>
      <c r="L25" s="739"/>
      <c r="M25" s="64" t="s">
        <v>57</v>
      </c>
      <c r="Y25" s="596"/>
    </row>
    <row r="26" spans="1:25" ht="12" customHeight="1" x14ac:dyDescent="0.2">
      <c r="A26" s="88" t="s">
        <v>123</v>
      </c>
      <c r="C26" s="89"/>
      <c r="D26" s="87"/>
      <c r="E26" s="87"/>
      <c r="F26" s="87"/>
      <c r="G26" s="87"/>
      <c r="H26" s="87"/>
      <c r="I26" s="87"/>
      <c r="J26" s="87"/>
      <c r="K26" s="87"/>
      <c r="L26" s="738">
        <f>IF(J27=K27,0,IF(K27&gt;0,(J27-K27)/K27,"--"))</f>
        <v>3.7499999999999999E-2</v>
      </c>
      <c r="M26" s="64"/>
      <c r="T26" s="596"/>
    </row>
    <row r="27" spans="1:25" ht="12" customHeight="1" x14ac:dyDescent="0.2">
      <c r="A27" s="88" t="s">
        <v>124</v>
      </c>
      <c r="C27" s="89" t="s">
        <v>59</v>
      </c>
      <c r="D27" s="603">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109400</v>
      </c>
      <c r="E27" s="603">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16082</v>
      </c>
      <c r="F27" s="603">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16152</v>
      </c>
      <c r="G27" s="603">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31109</v>
      </c>
      <c r="H27" s="603">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607</v>
      </c>
      <c r="I27" s="603">
        <f>[3]!SP1000P200F2100</f>
        <v>184546</v>
      </c>
      <c r="J27" s="603">
        <f>SUM(D27:H27)</f>
        <v>173350</v>
      </c>
      <c r="K27" s="603">
        <f>[4]!SP1000P200F2100</f>
        <v>167083</v>
      </c>
      <c r="L27" s="739"/>
      <c r="M27" s="64" t="s">
        <v>59</v>
      </c>
    </row>
    <row r="28" spans="1:25" ht="12" customHeight="1" x14ac:dyDescent="0.2">
      <c r="A28" s="88" t="s">
        <v>125</v>
      </c>
      <c r="C28" s="89" t="s">
        <v>61</v>
      </c>
      <c r="D28" s="599">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55500</v>
      </c>
      <c r="E28" s="599">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16668</v>
      </c>
      <c r="F28" s="599">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13161</v>
      </c>
      <c r="G28" s="599">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9">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8">
        <f>[3]!SP1000P200F2200</f>
        <v>75771</v>
      </c>
      <c r="J28" s="600">
        <f t="shared" ref="J28:J36" si="3">SUM(D28:H28)</f>
        <v>85329</v>
      </c>
      <c r="K28" s="598">
        <f>[4]!SP1000P200F2200</f>
        <v>41135</v>
      </c>
      <c r="L28" s="601">
        <f t="shared" ref="L28:L48" si="4">IF(J28=K28,0,IF(K28&gt;0,(J28-K28)/K28,"--"))</f>
        <v>1.0744</v>
      </c>
      <c r="M28" s="64" t="s">
        <v>61</v>
      </c>
    </row>
    <row r="29" spans="1:25" ht="12" customHeight="1" x14ac:dyDescent="0.2">
      <c r="A29" s="88" t="s">
        <v>126</v>
      </c>
      <c r="C29" s="89" t="s">
        <v>63</v>
      </c>
      <c r="D29" s="599">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9">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9">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1161</v>
      </c>
      <c r="G29" s="599">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9">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8">
        <f>[3]!SP1000P200F2300</f>
        <v>0</v>
      </c>
      <c r="J29" s="600">
        <f t="shared" si="3"/>
        <v>1161</v>
      </c>
      <c r="K29" s="598">
        <f>[4]!SP1000P200F2300</f>
        <v>0</v>
      </c>
      <c r="L29" s="601" t="str">
        <f t="shared" si="4"/>
        <v>--</v>
      </c>
      <c r="M29" s="64" t="s">
        <v>63</v>
      </c>
    </row>
    <row r="30" spans="1:25" ht="12" customHeight="1" x14ac:dyDescent="0.2">
      <c r="A30" s="88" t="s">
        <v>127</v>
      </c>
      <c r="C30" s="89" t="s">
        <v>65</v>
      </c>
      <c r="D30" s="599">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9">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9">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9">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9">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8">
        <f>[3]!SP1000P200F2400</f>
        <v>0</v>
      </c>
      <c r="J30" s="600">
        <f t="shared" si="3"/>
        <v>0</v>
      </c>
      <c r="K30" s="598">
        <f>[4]!SP1000P200F2400</f>
        <v>53</v>
      </c>
      <c r="L30" s="601">
        <f t="shared" si="4"/>
        <v>-1</v>
      </c>
      <c r="M30" s="64" t="s">
        <v>65</v>
      </c>
    </row>
    <row r="31" spans="1:25" ht="12" customHeight="1" x14ac:dyDescent="0.2">
      <c r="A31" s="88" t="s">
        <v>128</v>
      </c>
      <c r="C31" s="89" t="s">
        <v>67</v>
      </c>
      <c r="D31" s="599">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5318</v>
      </c>
      <c r="E31" s="599">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577</v>
      </c>
      <c r="F31" s="599">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1611</v>
      </c>
      <c r="G31" s="599">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9">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8">
        <f>[3]!SP1000P200F2500</f>
        <v>0</v>
      </c>
      <c r="J31" s="600">
        <f t="shared" si="3"/>
        <v>7506</v>
      </c>
      <c r="K31" s="598">
        <f>[4]!SP1000P200F2500</f>
        <v>78</v>
      </c>
      <c r="L31" s="601">
        <f t="shared" si="4"/>
        <v>95.230800000000002</v>
      </c>
      <c r="M31" s="64" t="s">
        <v>67</v>
      </c>
    </row>
    <row r="32" spans="1:25" ht="12" customHeight="1" x14ac:dyDescent="0.2">
      <c r="A32" s="88" t="s">
        <v>129</v>
      </c>
      <c r="C32" s="89" t="s">
        <v>69</v>
      </c>
      <c r="D32" s="599">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9">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9">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9">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9">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8">
        <f>[3]!SP1000P200F2600</f>
        <v>0</v>
      </c>
      <c r="J32" s="600">
        <f t="shared" si="3"/>
        <v>0</v>
      </c>
      <c r="K32" s="598">
        <f>[4]!SP1000P200F2600</f>
        <v>0</v>
      </c>
      <c r="L32" s="601">
        <f t="shared" si="4"/>
        <v>0</v>
      </c>
      <c r="M32" s="64" t="s">
        <v>69</v>
      </c>
    </row>
    <row r="33" spans="1:13" ht="12" customHeight="1" x14ac:dyDescent="0.2">
      <c r="A33" s="88" t="s">
        <v>130</v>
      </c>
      <c r="C33" s="89" t="s">
        <v>71</v>
      </c>
      <c r="D33" s="599">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9">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9">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9">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9">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8">
        <f>[3]!SP1000P200F2900</f>
        <v>0</v>
      </c>
      <c r="J33" s="600">
        <f t="shared" si="3"/>
        <v>0</v>
      </c>
      <c r="K33" s="598">
        <f>[4]!SP1000P200F2900</f>
        <v>0</v>
      </c>
      <c r="L33" s="601">
        <f t="shared" si="4"/>
        <v>0</v>
      </c>
      <c r="M33" s="64" t="s">
        <v>71</v>
      </c>
    </row>
    <row r="34" spans="1:13" ht="12" customHeight="1" x14ac:dyDescent="0.2">
      <c r="A34" s="88" t="s">
        <v>131</v>
      </c>
      <c r="C34" s="89" t="s">
        <v>73</v>
      </c>
      <c r="D34" s="599">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9">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9">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9">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9">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8">
        <f>[3]!SP1000P200F3000</f>
        <v>0</v>
      </c>
      <c r="J34" s="600">
        <f t="shared" si="3"/>
        <v>0</v>
      </c>
      <c r="K34" s="598">
        <f>[4]!SP1000P200F3000</f>
        <v>0</v>
      </c>
      <c r="L34" s="601">
        <f t="shared" si="4"/>
        <v>0</v>
      </c>
      <c r="M34" s="64" t="s">
        <v>73</v>
      </c>
    </row>
    <row r="35" spans="1:13" ht="12" customHeight="1" x14ac:dyDescent="0.2">
      <c r="A35" s="88" t="s">
        <v>132</v>
      </c>
      <c r="C35" s="89" t="s">
        <v>75</v>
      </c>
      <c r="D35" s="599">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9">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9">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9">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9">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8">
        <f>[3]!SP1000P200F4000</f>
        <v>0</v>
      </c>
      <c r="J35" s="600">
        <f t="shared" si="3"/>
        <v>0</v>
      </c>
      <c r="K35" s="598">
        <f>[4]!SP1000P200F4000</f>
        <v>0</v>
      </c>
      <c r="L35" s="601">
        <f t="shared" si="4"/>
        <v>0</v>
      </c>
      <c r="M35" s="64" t="s">
        <v>75</v>
      </c>
    </row>
    <row r="36" spans="1:13" ht="12" customHeight="1" x14ac:dyDescent="0.2">
      <c r="A36" s="88" t="s">
        <v>133</v>
      </c>
      <c r="C36" s="89" t="s">
        <v>77</v>
      </c>
      <c r="D36" s="599">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9">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9">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9">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9">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8">
        <f>[3]!SP1000P200F5000</f>
        <v>0</v>
      </c>
      <c r="J36" s="600">
        <f t="shared" si="3"/>
        <v>0</v>
      </c>
      <c r="K36" s="598">
        <f>[4]!SP1000P200F5000</f>
        <v>0</v>
      </c>
      <c r="L36" s="601">
        <f t="shared" si="4"/>
        <v>0</v>
      </c>
      <c r="M36" s="64" t="s">
        <v>77</v>
      </c>
    </row>
    <row r="37" spans="1:13" ht="12" customHeight="1" x14ac:dyDescent="0.2">
      <c r="A37" s="92" t="s">
        <v>134</v>
      </c>
      <c r="B37" s="2"/>
      <c r="C37" s="95" t="s">
        <v>79</v>
      </c>
      <c r="D37" s="599">
        <f>SUM(D25:D36)</f>
        <v>855922</v>
      </c>
      <c r="E37" s="599">
        <f t="shared" ref="E37:G37" si="5">SUM(E25:E36)</f>
        <v>195181</v>
      </c>
      <c r="F37" s="599">
        <f t="shared" si="5"/>
        <v>36287</v>
      </c>
      <c r="G37" s="599">
        <f t="shared" si="5"/>
        <v>33770</v>
      </c>
      <c r="H37" s="599">
        <f>SUM(H25:H36)</f>
        <v>607</v>
      </c>
      <c r="I37" s="599">
        <f>SUM(I25:I36)</f>
        <v>576598</v>
      </c>
      <c r="J37" s="599">
        <f>SUM(J25:J36)</f>
        <v>1121767</v>
      </c>
      <c r="K37" s="599">
        <f>SUM(K25:K36)</f>
        <v>576624</v>
      </c>
      <c r="L37" s="96">
        <f t="shared" si="4"/>
        <v>0.94540000000000002</v>
      </c>
      <c r="M37" s="97" t="s">
        <v>79</v>
      </c>
    </row>
    <row r="38" spans="1:13" ht="12" customHeight="1" x14ac:dyDescent="0.2">
      <c r="A38" s="98" t="s">
        <v>135</v>
      </c>
      <c r="B38" s="99"/>
      <c r="C38" s="95" t="s">
        <v>81</v>
      </c>
      <c r="D38" s="599">
        <f>SUMIFS('Accounting data'!$G$2:$G$37000,'Accounting data'!$H$2:$H$37000,"1000*",'Accounting data'!$I$2:$I$37000,"400*",'Accounting data'!$K$2:$K$37000,"61*")+SUMIFS('Accounting data'!$G$2:$G$37000,'Accounting data'!$H$2:$H$37000,"1500*",'Accounting data'!$I$2:$I$37000,"400*",'Accounting data'!$K$2:$K$37000,"61*")</f>
        <v>14859</v>
      </c>
      <c r="E38" s="599">
        <f>SUMIFS('Accounting data'!$G$2:$G$37000,'Accounting data'!$H$2:$H$37000,"1000*",'Accounting data'!$I$2:$I$37000,"400*",'Accounting data'!$K$2:$K$37000,"62*")+SUMIFS('Accounting data'!$G$2:$G$37000,'Accounting data'!$H$2:$H$37000,"1500*",'Accounting data'!$I$2:$I$37000,"400*",'Accounting data'!$K$2:$K$37000,"62*")</f>
        <v>3971</v>
      </c>
      <c r="F38" s="599">
        <f>SUMIFS('Accounting data'!$G$2:$G$37000,'Accounting data'!$H$2:$H$37000,"1000*",'Accounting data'!$I$2:$I$37000,"400*",'Accounting data'!$K$2:$K$37000,"63*")+SUMIFS('Accounting data'!$G$2:$G$37000,'Accounting data'!$H$2:$H$37000,"1500*",'Accounting data'!$I$2:$I$37000,"400*",'Accounting data'!$K$2:$K$37000,"63*")</f>
        <v>1230</v>
      </c>
      <c r="G38" s="599">
        <f>SUMIFS('Accounting data'!$G$2:$G$37000,'Accounting data'!$H$2:$H$37000,"1000*",'Accounting data'!$I$2:$I$37000,"400*",'Accounting data'!$K$2:$K$37000,"66*")+SUMIFS('Accounting data'!$G$2:$G$37000,'Accounting data'!$H$2:$H$37000,"1500*",'Accounting data'!$I$2:$I$37000,"400*",'Accounting data'!$K$2:$K$37000,"66*")</f>
        <v>0</v>
      </c>
      <c r="H38" s="599">
        <f>SUMIFS('Accounting data'!$G$2:$G$37000,'Accounting data'!$H$2:$H$37000,"1000*",'Accounting data'!$I$2:$I$37000,"400*",'Accounting data'!$K$2:$K$37000,"68*")+SUMIFS('Accounting data'!$G$2:$G$37000,'Accounting data'!$H$2:$H$37000,"1500*",'Accounting data'!$I$2:$I$37000,"400*",'Accounting data'!$K$2:$K$37000,"68*")</f>
        <v>0</v>
      </c>
      <c r="I38" s="598">
        <f>[3]!SP1000P400</f>
        <v>1917</v>
      </c>
      <c r="J38" s="600">
        <f>SUM(D38:H38)</f>
        <v>20060</v>
      </c>
      <c r="K38" s="598">
        <f>[4]!SP1000P400</f>
        <v>6727</v>
      </c>
      <c r="L38" s="601">
        <f t="shared" si="4"/>
        <v>1.982</v>
      </c>
      <c r="M38" s="97" t="s">
        <v>81</v>
      </c>
    </row>
    <row r="39" spans="1:13" ht="12" customHeight="1" x14ac:dyDescent="0.2">
      <c r="A39" s="98" t="s">
        <v>136</v>
      </c>
      <c r="B39" s="99"/>
      <c r="C39" s="100" t="s">
        <v>83</v>
      </c>
      <c r="D39" s="599">
        <f>SUMIFS('Accounting data'!$G$2:$G$37000,'Accounting data'!$H$2:$H$37000,"1000*",'Accounting data'!$I$2:$I$37000,"53*",'Accounting data'!$K$2:$K$37000,"61*")+SUMIFS('Accounting data'!$G$2:$G$37000,'Accounting data'!$H$2:$H$37000,"1500*",'Accounting data'!$I$2:$I$37000,"53*",'Accounting data'!$K$2:$K$37000,"61*")</f>
        <v>0</v>
      </c>
      <c r="E39" s="599">
        <f>SUMIFS('Accounting data'!$G$2:$G$37000,'Accounting data'!$H$2:$H$37000,"1000*",'Accounting data'!$I$2:$I$37000,"53*",'Accounting data'!$K$2:$K$37000,"62*")+SUMIFS('Accounting data'!$G$2:$G$37000,'Accounting data'!$H$2:$H$37000,"1000*",'Accounting data'!$I$2:$I$37000,"53*",'Accounting data'!$K$2:$K$37000,"62*")</f>
        <v>0</v>
      </c>
      <c r="F39" s="599">
        <f>SUMIFS('Accounting data'!$G$2:$G$37000,'Accounting data'!$H$2:$H$37000,"1000*",'Accounting data'!$I$2:$I$37000,"53*",'Accounting data'!$K$2:$K$37000,"63*")+SUMIFS('Accounting data'!$G$2:$G$37000,'Accounting data'!$H$2:$H$37000,"1500*",'Accounting data'!$I$2:$I$37000,"53*",'Accounting data'!$K$2:$K$37000,"63*")</f>
        <v>0</v>
      </c>
      <c r="G39" s="599">
        <f>SUMIFS('Accounting data'!$G$2:$G$37000,'Accounting data'!$H$2:$H$37000,"1000*",'Accounting data'!$I$2:$I$37000,"53*",'Accounting data'!$K$2:$K$37000,"66*")+SUMIFS('Accounting data'!$G$2:$G$37000,'Accounting data'!$H$2:$H$37000,"1500*",'Accounting data'!$I$2:$I$37000,"53*",'Accounting data'!$K$2:$K$37000,"66*")</f>
        <v>0</v>
      </c>
      <c r="H39" s="599">
        <f>SUMIFS('Accounting data'!$G$2:$G$37000,'Accounting data'!$H$2:$H$37000,"1000*",'Accounting data'!$I$2:$I$37000,"53*",'Accounting data'!$K$2:$K$37000,"68*")+SUMIFS('Accounting data'!$G$2:$G$37000,'Accounting data'!$H$2:$H$37000,"1500*",'Accounting data'!$I$2:$I$37000,"53*",'Accounting data'!$K$2:$K$37000,"68*")</f>
        <v>0</v>
      </c>
      <c r="I39" s="598">
        <f>[3]!SP1000P530</f>
        <v>0</v>
      </c>
      <c r="J39" s="600">
        <f>SUM(D39:H39)</f>
        <v>0</v>
      </c>
      <c r="K39" s="598">
        <f>[4]!SP1000P530</f>
        <v>0</v>
      </c>
      <c r="L39" s="601">
        <f t="shared" si="4"/>
        <v>0</v>
      </c>
      <c r="M39" s="97" t="s">
        <v>83</v>
      </c>
    </row>
    <row r="40" spans="1:13" ht="12" customHeight="1" x14ac:dyDescent="0.2">
      <c r="A40" s="98" t="s">
        <v>137</v>
      </c>
      <c r="B40" s="99"/>
      <c r="C40" s="100" t="s">
        <v>85</v>
      </c>
      <c r="D40" s="599">
        <f>SUMIFS('Accounting data'!$G$2:$G$37000,'Accounting data'!$H$2:$H$37000,"1000*",'Accounting data'!$I$2:$I$37000,"54*",'Accounting data'!$K$2:$K$37000,"61*")+SUMIFS('Accounting data'!$G$2:$G$37000,'Accounting data'!$H$2:$H$37000,"1500*",'Accounting data'!$I$2:$I$37000,"54*",'Accounting data'!$K$2:$K$37000,"61*")</f>
        <v>0</v>
      </c>
      <c r="E40" s="599">
        <f>SUMIFS('Accounting data'!$G$2:$G$37000,'Accounting data'!$H$2:$H$37000,"1000*",'Accounting data'!$I$2:$I$37000,"54*",'Accounting data'!$K$2:$K$37000,"62*")+SUMIFS('Accounting data'!$G$2:$G$37000,'Accounting data'!$H$2:$H$37000,"1500*",'Accounting data'!$I$2:$I$37000,"54*",'Accounting data'!$K$2:$K$37000,"62*")</f>
        <v>0</v>
      </c>
      <c r="F40" s="599">
        <f>SUMIFS('Accounting data'!$G$2:$G$37000,'Accounting data'!$H$2:$H$37000,"1000*",'Accounting data'!$I$2:$I$37000,"54*",'Accounting data'!$K$2:$K$37000,"63*")+SUMIFS('Accounting data'!$G$2:$G$37000,'Accounting data'!$H$2:$H$37000,"1500*",'Accounting data'!$I$2:$I$37000,"54*",'Accounting data'!$K$2:$K$37000,"63*")</f>
        <v>0</v>
      </c>
      <c r="G40" s="599">
        <f>SUMIFS('Accounting data'!$G$2:$G$37000,'Accounting data'!$H$2:$H$37000,"1000*",'Accounting data'!$I$2:$I$37000,"54*",'Accounting data'!$K$2:$K$37000,"66*")+SUMIFS('Accounting data'!$G$2:$G$37000,'Accounting data'!$H$2:$H$37000,"1500*",'Accounting data'!$I$2:$I$37000,"54*",'Accounting data'!$K$2:$K$37000,"66*")</f>
        <v>0</v>
      </c>
      <c r="H40" s="599">
        <f>SUMIFS('Accounting data'!$G$2:$G$37000,'Accounting data'!$H$2:$H$37000,"1000*",'Accounting data'!$I$2:$I$37000,"54*",'Accounting data'!$K$2:$K$37000,"68*")+SUMIFS('Accounting data'!$G$2:$G$37000,'Accounting data'!$H$2:$H$37000,"1500*",'Accounting data'!$I$2:$I$37000,"54*",'Accounting data'!$K$2:$K$37000,"68*")</f>
        <v>0</v>
      </c>
      <c r="I40" s="598">
        <f>[3]!SP1000P540</f>
        <v>0</v>
      </c>
      <c r="J40" s="600">
        <f>SUM(D40:H40)</f>
        <v>0</v>
      </c>
      <c r="K40" s="598">
        <f>[4]!SP1000P540</f>
        <v>0</v>
      </c>
      <c r="L40" s="601">
        <f t="shared" si="4"/>
        <v>0</v>
      </c>
      <c r="M40" s="97" t="s">
        <v>85</v>
      </c>
    </row>
    <row r="41" spans="1:13" ht="12" customHeight="1" x14ac:dyDescent="0.2">
      <c r="A41" s="98" t="s">
        <v>138</v>
      </c>
      <c r="B41" s="99"/>
      <c r="C41" s="100" t="s">
        <v>86</v>
      </c>
      <c r="D41" s="599">
        <f>SUMIFS('Accounting data'!$G$2:$G$37000,'Accounting data'!$H$2:$H$37000,"1000*",'Accounting data'!$I$2:$I$37000,"55*",'Accounting data'!$K$2:$K$37000,"61*")+SUMIFS('Accounting data'!$G$2:$G$37000,'Accounting data'!$H$2:$H$37000,"1500*",'Accounting data'!$I$2:$I$37000,"55*",'Accounting data'!$K$2:$K$37000,"61*")</f>
        <v>62504</v>
      </c>
      <c r="E41" s="599">
        <f>SUMIFS('Accounting data'!$G$2:$G$37000,'Accounting data'!$H$2:$H$37000,"1000*",'Accounting data'!$I$2:$I$37000,"55*",'Accounting data'!$K$2:$K$37000,"62*")+SUMIFS('Accounting data'!$G$2:$G$37000,'Accounting data'!$H$2:$H$37000,"1500*",'Accounting data'!$I$2:$I$37000,"55*",'Accounting data'!$K$2:$K$37000,"62*")</f>
        <v>15568</v>
      </c>
      <c r="F41" s="599">
        <f>SUMIFS('Accounting data'!$G$2:$G$37000,'Accounting data'!$H$2:$H$37000,"1000*",'Accounting data'!$I$2:$I$37000,"55*",'Accounting data'!$K$2:$K$37000,"63*")+SUMIFS('Accounting data'!$G$2:$G$37000,'Accounting data'!$H$2:$H$37000,"1500*",'Accounting data'!$I$2:$I$37000,"55*",'Accounting data'!$K$2:$K$37000,"63*")</f>
        <v>0</v>
      </c>
      <c r="G41" s="599">
        <f>SUMIFS('Accounting data'!$G$2:$G$37000,'Accounting data'!$H$2:$H$37000,"1000*",'Accounting data'!$I$2:$I$37000,"55*",'Accounting data'!$K$2:$K$37000,"66*")+SUMIFS('Accounting data'!$G$2:$G$37000,'Accounting data'!$H$2:$H$37000,"1500*",'Accounting data'!$I$2:$I$37000,"55*",'Accounting data'!$K$2:$K$37000,"66*")</f>
        <v>0</v>
      </c>
      <c r="H41" s="599">
        <f>SUMIFS('Accounting data'!$G$2:$G$37000,'Accounting data'!$H$2:$H$37000,"1000*",'Accounting data'!$I$2:$I$37000,"55*",'Accounting data'!$K$2:$K$37000,"68*")+SUMIFS('Accounting data'!$G$2:$G$37000,'Accounting data'!$H$2:$H$37000,"1500*",'Accounting data'!$I$2:$I$37000,"55*",'Accounting data'!$K$2:$K$37000,"68*")</f>
        <v>0</v>
      </c>
      <c r="I41" s="598">
        <f>[3]!SP1000P550</f>
        <v>83465</v>
      </c>
      <c r="J41" s="600">
        <f>SUM(D41:H41)</f>
        <v>78072</v>
      </c>
      <c r="K41" s="598">
        <f>[4]!SP1000P550</f>
        <v>53712</v>
      </c>
      <c r="L41" s="601">
        <f t="shared" si="4"/>
        <v>0.45350000000000001</v>
      </c>
      <c r="M41" s="97" t="s">
        <v>86</v>
      </c>
    </row>
    <row r="42" spans="1:13" ht="12" customHeight="1" x14ac:dyDescent="0.2">
      <c r="A42" s="98" t="s">
        <v>139</v>
      </c>
      <c r="B42" s="99"/>
      <c r="C42" s="100" t="s">
        <v>140</v>
      </c>
      <c r="D42" s="599">
        <f t="shared" ref="D42:I42" si="6">SUM(D38:D41)+D37+D23</f>
        <v>16373207</v>
      </c>
      <c r="E42" s="599">
        <f t="shared" si="6"/>
        <v>5676394</v>
      </c>
      <c r="F42" s="599">
        <f t="shared" si="6"/>
        <v>5119599</v>
      </c>
      <c r="G42" s="599">
        <f t="shared" si="6"/>
        <v>564378</v>
      </c>
      <c r="H42" s="599">
        <f t="shared" si="6"/>
        <v>2937772</v>
      </c>
      <c r="I42" s="598">
        <f t="shared" si="6"/>
        <v>31112708</v>
      </c>
      <c r="J42" s="600">
        <f>SUM(J37:J41)+J23</f>
        <v>30671350</v>
      </c>
      <c r="K42" s="600">
        <f>SUM(K23)+SUM(K37:K41)</f>
        <v>28233647</v>
      </c>
      <c r="L42" s="601">
        <f t="shared" si="4"/>
        <v>8.6300000000000002E-2</v>
      </c>
      <c r="M42" s="97" t="s">
        <v>140</v>
      </c>
    </row>
    <row r="43" spans="1:13" ht="12" customHeight="1" x14ac:dyDescent="0.2">
      <c r="A43" s="98" t="s">
        <v>1179</v>
      </c>
      <c r="B43" s="99"/>
      <c r="C43" s="100" t="s">
        <v>141</v>
      </c>
      <c r="D43" s="599">
        <f>'Page 3'!F13</f>
        <v>2797167</v>
      </c>
      <c r="E43" s="599">
        <f>'Page 3'!G13</f>
        <v>557756</v>
      </c>
      <c r="F43" s="599">
        <f>'Page 3'!H13</f>
        <v>0</v>
      </c>
      <c r="G43" s="599">
        <f>'Page 3'!I13</f>
        <v>0</v>
      </c>
      <c r="H43" s="689">
        <f>'Page 3'!G18</f>
        <v>0</v>
      </c>
      <c r="I43" s="598">
        <f>[3]!SP1000ClassSiteProj</f>
        <v>3278648</v>
      </c>
      <c r="J43" s="600">
        <f>SUM(D43:H43)</f>
        <v>3354923</v>
      </c>
      <c r="K43" s="598">
        <f>[4]!SP1000ClassSiteProj</f>
        <v>3062377</v>
      </c>
      <c r="L43" s="601">
        <f t="shared" si="4"/>
        <v>9.5500000000000002E-2</v>
      </c>
      <c r="M43" s="97" t="s">
        <v>141</v>
      </c>
    </row>
    <row r="44" spans="1:13" ht="12" customHeight="1" x14ac:dyDescent="0.2">
      <c r="A44" s="98" t="s">
        <v>142</v>
      </c>
      <c r="B44" s="99"/>
      <c r="C44" s="100" t="s">
        <v>143</v>
      </c>
      <c r="D44" s="101"/>
      <c r="E44" s="101"/>
      <c r="F44" s="101"/>
      <c r="G44" s="101"/>
      <c r="H44" s="101"/>
      <c r="I44" s="598">
        <f>[3]!SP1000InstrImpProj</f>
        <v>4654</v>
      </c>
      <c r="J44" s="600">
        <f>SUMIFS('Accounting data'!$G$2:$G$37000,'Accounting data'!$H$2:$H$37000,"1020*",'Accounting data'!$K$2:$K$37000,"6*")</f>
        <v>265142</v>
      </c>
      <c r="K44" s="598">
        <f>[4]!SP1000InstrImpProj</f>
        <v>318155</v>
      </c>
      <c r="L44" s="601">
        <f t="shared" si="4"/>
        <v>-0.1666</v>
      </c>
      <c r="M44" s="97" t="s">
        <v>143</v>
      </c>
    </row>
    <row r="45" spans="1:13" ht="12" customHeight="1" x14ac:dyDescent="0.2">
      <c r="A45" s="98" t="s">
        <v>144</v>
      </c>
      <c r="B45" s="99"/>
      <c r="C45" s="100" t="s">
        <v>145</v>
      </c>
      <c r="D45" s="599">
        <f>TotalSEIP6100</f>
        <v>63456</v>
      </c>
      <c r="E45" s="599">
        <f>TotalSEIP6200</f>
        <v>15689</v>
      </c>
      <c r="F45" s="599">
        <f>TotalSEIP630064006500</f>
        <v>78</v>
      </c>
      <c r="G45" s="599">
        <f>TotalSEIP6600</f>
        <v>0</v>
      </c>
      <c r="H45" s="599">
        <f>TotalSEIP6800</f>
        <v>0</v>
      </c>
      <c r="I45" s="598">
        <f>[3]!SP1000StruEngImmProj</f>
        <v>0</v>
      </c>
      <c r="J45" s="600">
        <f>SUM(D45:H45)</f>
        <v>79223</v>
      </c>
      <c r="K45" s="598">
        <f>[4]!SP1000StruEngImmProj</f>
        <v>0</v>
      </c>
      <c r="L45" s="601" t="str">
        <f t="shared" si="4"/>
        <v>--</v>
      </c>
      <c r="M45" s="97" t="s">
        <v>145</v>
      </c>
    </row>
    <row r="46" spans="1:13" ht="12" customHeight="1" x14ac:dyDescent="0.2">
      <c r="A46" s="98" t="s">
        <v>146</v>
      </c>
      <c r="B46" s="99"/>
      <c r="C46" s="100" t="s">
        <v>147</v>
      </c>
      <c r="D46" s="599">
        <f>TotalCIP6100</f>
        <v>0</v>
      </c>
      <c r="E46" s="599">
        <f>TotalCIP6200</f>
        <v>0</v>
      </c>
      <c r="F46" s="599">
        <f>TotalCIP630064006500</f>
        <v>0</v>
      </c>
      <c r="G46" s="599">
        <f>TotalCIP6600</f>
        <v>0</v>
      </c>
      <c r="H46" s="599">
        <f>TotalCIP6800</f>
        <v>0</v>
      </c>
      <c r="I46" s="598">
        <f>[3]!SP1000CompInstrProj</f>
        <v>0</v>
      </c>
      <c r="J46" s="600">
        <f>SUM(D46:H46)</f>
        <v>0</v>
      </c>
      <c r="K46" s="598">
        <f>[4]!SP1000CompInstrProj</f>
        <v>0</v>
      </c>
      <c r="L46" s="601">
        <f t="shared" si="4"/>
        <v>0</v>
      </c>
      <c r="M46" s="97" t="s">
        <v>147</v>
      </c>
    </row>
    <row r="47" spans="1:13" ht="12" customHeight="1" x14ac:dyDescent="0.2">
      <c r="A47" s="221" t="s">
        <v>1180</v>
      </c>
      <c r="B47" s="102"/>
      <c r="C47" s="100" t="s">
        <v>148</v>
      </c>
      <c r="D47" s="103"/>
      <c r="E47" s="103"/>
      <c r="F47" s="103"/>
      <c r="G47" s="103"/>
      <c r="H47" s="103"/>
      <c r="I47" s="598">
        <f>[3]!SP1000FedStProj</f>
        <v>3577760</v>
      </c>
      <c r="J47" s="600">
        <f>ActualTotalFederalAndStateProjects</f>
        <v>4336749</v>
      </c>
      <c r="K47" s="598">
        <f>[4]!SP1000FedStProj</f>
        <v>4455954</v>
      </c>
      <c r="L47" s="601">
        <f t="shared" si="4"/>
        <v>-2.6800000000000001E-2</v>
      </c>
      <c r="M47" s="97" t="s">
        <v>148</v>
      </c>
    </row>
    <row r="48" spans="1:13" ht="12" customHeight="1" x14ac:dyDescent="0.2">
      <c r="A48" s="98" t="s">
        <v>149</v>
      </c>
      <c r="B48" s="99"/>
      <c r="C48" s="100" t="s">
        <v>150</v>
      </c>
      <c r="D48" s="103"/>
      <c r="E48" s="103"/>
      <c r="F48" s="103"/>
      <c r="G48" s="103"/>
      <c r="H48" s="103"/>
      <c r="I48" s="600">
        <f>SUM(I42:I47)</f>
        <v>37973770</v>
      </c>
      <c r="J48" s="600">
        <f>SUM(J42:J47)</f>
        <v>38707387</v>
      </c>
      <c r="K48" s="600">
        <f>SUM(K42:K47)</f>
        <v>36070133</v>
      </c>
      <c r="L48" s="601">
        <f t="shared" si="4"/>
        <v>7.3099999999999998E-2</v>
      </c>
      <c r="M48" s="97" t="s">
        <v>150</v>
      </c>
    </row>
    <row r="49" spans="1:1" ht="12" customHeight="1" x14ac:dyDescent="0.2">
      <c r="A49" s="597"/>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N10:AF10"/>
    <mergeCell ref="N9:AF9"/>
    <mergeCell ref="L6:L7"/>
    <mergeCell ref="L8:L9"/>
    <mergeCell ref="L26:L27"/>
    <mergeCell ref="L24:L25"/>
    <mergeCell ref="L21:L22"/>
    <mergeCell ref="B1:C1"/>
    <mergeCell ref="L3:L5"/>
    <mergeCell ref="I3:K3"/>
    <mergeCell ref="I21:I22"/>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7" t="s">
        <v>0</v>
      </c>
      <c r="D1" s="618" t="str">
        <f>'Cover Page'!D1</f>
        <v>ASU Preparatory Academy - Digital</v>
      </c>
      <c r="E1" s="619"/>
      <c r="F1" s="59" t="s">
        <v>151</v>
      </c>
      <c r="G1" s="618" t="str">
        <f>'Cover Page'!M1</f>
        <v>Maricopa</v>
      </c>
      <c r="H1" s="615"/>
      <c r="I1" s="59" t="s">
        <v>2</v>
      </c>
      <c r="J1" s="617" t="str">
        <f>'Cover Page'!R1</f>
        <v>078284000</v>
      </c>
    </row>
    <row r="4" spans="1:14" x14ac:dyDescent="0.2">
      <c r="A4" s="75"/>
      <c r="B4" s="112"/>
      <c r="C4" s="113"/>
      <c r="D4" s="113"/>
      <c r="E4" s="114"/>
      <c r="F4" s="73"/>
      <c r="G4" s="622" t="s">
        <v>152</v>
      </c>
      <c r="H4" s="622" t="s">
        <v>153</v>
      </c>
      <c r="I4" s="82"/>
      <c r="J4" s="750" t="s">
        <v>90</v>
      </c>
      <c r="K4" s="751"/>
      <c r="L4" s="115"/>
    </row>
    <row r="5" spans="1:14" x14ac:dyDescent="0.2">
      <c r="A5" s="116" t="s">
        <v>92</v>
      </c>
      <c r="C5" s="117"/>
      <c r="D5" s="117"/>
      <c r="E5" s="118"/>
      <c r="F5" s="80" t="s">
        <v>93</v>
      </c>
      <c r="G5" s="78" t="s">
        <v>94</v>
      </c>
      <c r="H5" s="80" t="s">
        <v>95</v>
      </c>
      <c r="I5" s="119" t="s">
        <v>96</v>
      </c>
      <c r="J5" s="80"/>
      <c r="K5" s="80"/>
      <c r="L5" s="120"/>
    </row>
    <row r="6" spans="1:14" x14ac:dyDescent="0.2">
      <c r="A6" s="92"/>
      <c r="B6" s="2"/>
      <c r="C6" s="121"/>
      <c r="D6" s="121"/>
      <c r="E6" s="122"/>
      <c r="F6" s="85">
        <v>6100</v>
      </c>
      <c r="G6" s="627">
        <v>6200</v>
      </c>
      <c r="H6" s="85" t="s">
        <v>100</v>
      </c>
      <c r="I6" s="85">
        <v>6600</v>
      </c>
      <c r="J6" s="85" t="s">
        <v>101</v>
      </c>
      <c r="K6" s="85" t="s">
        <v>23</v>
      </c>
      <c r="L6" s="120"/>
    </row>
    <row r="7" spans="1:14" x14ac:dyDescent="0.2">
      <c r="A7" s="607" t="s">
        <v>154</v>
      </c>
      <c r="B7" s="608"/>
      <c r="C7" s="608"/>
      <c r="D7" s="608"/>
      <c r="E7" s="123"/>
      <c r="F7" s="82"/>
      <c r="G7" s="82"/>
      <c r="H7" s="82"/>
      <c r="I7" s="82"/>
      <c r="J7" s="82"/>
      <c r="K7" s="82"/>
      <c r="L7" s="88"/>
    </row>
    <row r="8" spans="1:14" x14ac:dyDescent="0.2">
      <c r="A8" s="124"/>
      <c r="B8" s="117"/>
      <c r="C8" t="s">
        <v>155</v>
      </c>
      <c r="D8" s="117"/>
      <c r="E8" s="125" t="s">
        <v>24</v>
      </c>
      <c r="F8" s="605">
        <f>SUMIFS('Accounting data'!$G$2:$G$37000,'Accounting data'!$H$2:$H$37000,"1010*",'Accounting data'!$J$2:$J$37000,"1*",'Accounting data'!$K$2:$K$37000,"61*")</f>
        <v>2492163</v>
      </c>
      <c r="G8" s="605">
        <f>SUMIFS('Accounting data'!$G$2:$G$37000,'Accounting data'!$H$2:$H$37000,"1010*",'Accounting data'!$J$2:$J$37000,"1*",'Accounting data'!$K$2:$K$37000,"62*")</f>
        <v>496938</v>
      </c>
      <c r="H8" s="605">
        <f>SUMIFS('Accounting data'!$G$2:$G$37000,'Accounting data'!$H$2:$H$37000,"1010*",'Accounting data'!$J$2:$J$37000,"1*",'Accounting data'!$K$2:$K$37000,"63*")</f>
        <v>0</v>
      </c>
      <c r="I8" s="605">
        <f>SUMIFS('Accounting data'!$G$2:$G$37000,'Accounting data'!$H$2:$H$37000,"1010*",'Accounting data'!$J$2:$J$37000,"1*",'Accounting data'!$K$2:$K$37000,"66*")</f>
        <v>0</v>
      </c>
      <c r="J8" s="604">
        <f t="array" ref="J8">[3]!_CSP1000</f>
        <v>3278648</v>
      </c>
      <c r="K8" s="605">
        <f>SUM(F8:I8)</f>
        <v>2989101</v>
      </c>
      <c r="L8" s="88"/>
    </row>
    <row r="9" spans="1:14" x14ac:dyDescent="0.2">
      <c r="A9" s="124"/>
      <c r="B9" s="117"/>
      <c r="C9" t="s">
        <v>156</v>
      </c>
      <c r="D9" s="117"/>
      <c r="E9" s="125" t="s">
        <v>26</v>
      </c>
      <c r="F9" s="600">
        <f>SUMIFS('Accounting data'!$G$2:$G$37000,'Accounting data'!$H$2:$H$37000,"1010*",'Accounting data'!$J$2:$J$37000,"21*",'Accounting data'!$K$2:$K$37000,"61*")</f>
        <v>286924</v>
      </c>
      <c r="G9" s="600">
        <f>SUMIFS('Accounting data'!$G$2:$G$37000,'Accounting data'!$H$2:$H$37000,"1010*",'Accounting data'!$J$2:$J$37000,"21*",'Accounting data'!$K$2:$K$37000,"62*")</f>
        <v>57213</v>
      </c>
      <c r="H9" s="600">
        <f>SUMIFS('Accounting data'!$G$2:$G$37000,'Accounting data'!$H$2:$H$37000,"1010*",'Accounting data'!$J$2:$J$37000,"21*",'Accounting data'!$K$2:$K$37000,"63*")</f>
        <v>0</v>
      </c>
      <c r="I9" s="600">
        <f>SUMIFS('Accounting data'!$G$2:$G$37000,'Accounting data'!$H$2:$H$37000,"1010*",'Accounting data'!$J$2:$J$37000,"21*",'Accounting data'!$K$2:$K$37000,"66*")</f>
        <v>0</v>
      </c>
      <c r="J9" s="598">
        <f t="array" ref="J9">[3]!_CSP2100</f>
        <v>0</v>
      </c>
      <c r="K9" s="600">
        <f t="shared" ref="K9:K13" si="0">SUM(F9:I9)</f>
        <v>344137</v>
      </c>
      <c r="L9" s="88"/>
    </row>
    <row r="10" spans="1:14" x14ac:dyDescent="0.2">
      <c r="A10" s="124"/>
      <c r="B10" s="117"/>
      <c r="C10" t="s">
        <v>157</v>
      </c>
      <c r="D10" s="117"/>
      <c r="E10" s="125" t="s">
        <v>28</v>
      </c>
      <c r="F10" s="600">
        <f>SUMIFS('Accounting data'!$G$2:$G$37000,'Accounting data'!$H$2:$H$37000,"1010*",'Accounting data'!$J$2:$J$37000,"22*",'Accounting data'!$K$2:$K$37000,"61*")</f>
        <v>18080</v>
      </c>
      <c r="G10" s="600">
        <f>SUMIFS('Accounting data'!$G$2:$G$37000,'Accounting data'!$H$2:$H$37000,"1010*",'Accounting data'!$J$2:$J$37000,"22*",'Accounting data'!$K$2:$K$37000,"62*")</f>
        <v>3605</v>
      </c>
      <c r="H10" s="600">
        <f>SUMIFS('Accounting data'!$G$2:$G$37000,'Accounting data'!$H$2:$H$37000,"1010*",'Accounting data'!$J$2:$J$37000,"22*",'Accounting data'!$K$2:$K$37000,"63*")</f>
        <v>0</v>
      </c>
      <c r="I10" s="600">
        <f>SUMIFS('Accounting data'!$G$2:$G$37000,'Accounting data'!$H$2:$H$37000,"1010*",'Accounting data'!$J$2:$J$37000,"22*",'Accounting data'!$K$2:$K$37000,"66*")</f>
        <v>0</v>
      </c>
      <c r="J10" s="598">
        <f t="array" ref="J10">[3]!_CSP2200</f>
        <v>0</v>
      </c>
      <c r="K10" s="600">
        <f t="shared" si="0"/>
        <v>21685</v>
      </c>
      <c r="L10" s="88"/>
    </row>
    <row r="11" spans="1:14" x14ac:dyDescent="0.2">
      <c r="A11" s="124"/>
      <c r="B11" s="117"/>
      <c r="C11" s="221" t="s">
        <v>158</v>
      </c>
      <c r="D11" s="126"/>
      <c r="E11" s="125" t="s">
        <v>31</v>
      </c>
      <c r="F11" s="103"/>
      <c r="G11" s="103"/>
      <c r="H11" s="600">
        <f>SUMIFS('Accounting data'!$G$2:$G$37000,'Accounting data'!$H$2:$H$37000,"1010*",'Accounting data'!$J$2:$J$37000,"23*",'Accounting data'!$K$2:$K$37000,"63*")</f>
        <v>0</v>
      </c>
      <c r="I11" s="103"/>
      <c r="J11" s="598">
        <f t="array" ref="J11">[3]!_CSP2300</f>
        <v>0</v>
      </c>
      <c r="K11" s="600">
        <f t="shared" si="0"/>
        <v>0</v>
      </c>
      <c r="L11" s="88"/>
    </row>
    <row r="12" spans="1:14" ht="12.75" customHeight="1" x14ac:dyDescent="0.2">
      <c r="A12" s="127"/>
      <c r="B12" s="121"/>
      <c r="C12" s="221" t="s">
        <v>159</v>
      </c>
      <c r="D12" s="128"/>
      <c r="E12" s="129" t="s">
        <v>33</v>
      </c>
      <c r="F12" s="600">
        <f>SUMIFS('Accounting data'!$G$2:$G$37000,'Accounting data'!$H$2:$H$37000,"1010*",'Accounting data'!$J$2:$J$37000,"33*",'Accounting data'!$K$2:$K$37000,"61*")</f>
        <v>0</v>
      </c>
      <c r="G12" s="600">
        <f>SUMIFS('Accounting data'!$G$2:$G$37000,'Accounting data'!$H$2:$H$37000,"1010*",'Accounting data'!$J$2:$J$37000,"33*",'Accounting data'!$K$2:$K$37000,"62*")</f>
        <v>0</v>
      </c>
      <c r="H12" s="600">
        <f>SUMIFS('Accounting data'!$G$2:$G$37000,'Accounting data'!$H$2:$H$37000,"1010*",'Accounting data'!$J$2:$J$37000,"33*",'Accounting data'!$K$2:$K$37000,"63*")</f>
        <v>0</v>
      </c>
      <c r="I12" s="103"/>
      <c r="J12" s="598">
        <f t="array" ref="J12">[3]!_CSP3300</f>
        <v>0</v>
      </c>
      <c r="K12" s="600">
        <f t="shared" si="0"/>
        <v>0</v>
      </c>
      <c r="L12" s="88"/>
      <c r="M12" s="752" t="str">
        <f>IF('Page 2'!J48=0,"",IF(OR(K13&lt;=0),"The Charter did not report any expenses for Classroom Site Project. If the Charter did not have any expense, verify by checking the box in A14 on the Cover Page.",""))</f>
        <v/>
      </c>
      <c r="N12" s="4"/>
    </row>
    <row r="13" spans="1:14" ht="12" customHeight="1" x14ac:dyDescent="0.2">
      <c r="A13" s="92" t="s">
        <v>160</v>
      </c>
      <c r="B13" s="121"/>
      <c r="C13" s="2"/>
      <c r="D13" s="121"/>
      <c r="E13" s="129" t="s">
        <v>35</v>
      </c>
      <c r="F13" s="600">
        <f>SUM(F8:F12)</f>
        <v>2797167</v>
      </c>
      <c r="G13" s="600">
        <f>SUM(G8:G12)</f>
        <v>557756</v>
      </c>
      <c r="H13" s="600">
        <f>SUM(H8:H12)</f>
        <v>0</v>
      </c>
      <c r="I13" s="600">
        <f>SUM(I8:I12)</f>
        <v>0</v>
      </c>
      <c r="J13" s="600">
        <f>SUM(J8:J12)</f>
        <v>3278648</v>
      </c>
      <c r="K13" s="600">
        <f t="shared" si="0"/>
        <v>3354923</v>
      </c>
      <c r="L13" s="88"/>
      <c r="M13" s="752"/>
      <c r="N13" s="4"/>
    </row>
    <row r="16" spans="1:14" ht="16.5" customHeight="1" x14ac:dyDescent="0.2">
      <c r="A16" s="607" t="s">
        <v>161</v>
      </c>
      <c r="B16" s="607"/>
      <c r="C16" s="608"/>
      <c r="D16" s="607"/>
      <c r="E16" s="130"/>
      <c r="F16" s="131" t="s">
        <v>101</v>
      </c>
      <c r="G16" s="633" t="s">
        <v>23</v>
      </c>
    </row>
    <row r="17" spans="1:27" x14ac:dyDescent="0.2">
      <c r="A17" s="70"/>
      <c r="B17" s="132"/>
      <c r="C17" s="71" t="s">
        <v>162</v>
      </c>
      <c r="D17" s="132"/>
      <c r="E17" s="133" t="s">
        <v>37</v>
      </c>
      <c r="F17" s="600">
        <f>'[3]Page 3'!$F$17</f>
        <v>0</v>
      </c>
      <c r="G17" s="104">
        <v>0</v>
      </c>
    </row>
    <row r="18" spans="1:27" ht="15" x14ac:dyDescent="0.2">
      <c r="A18" s="88"/>
      <c r="B18" s="596"/>
      <c r="C18" t="s">
        <v>163</v>
      </c>
      <c r="D18" s="596"/>
      <c r="E18" s="63" t="s">
        <v>39</v>
      </c>
      <c r="F18" s="600">
        <f>'[3]Page 3'!$F$18</f>
        <v>0</v>
      </c>
      <c r="G18" s="599">
        <f>SUMIFS('Accounting data'!$G$2:$G$37000,'Accounting data'!$H$2:$H$37000,"1010*",'Accounting data'!$K$2:$K$37000,"685*")</f>
        <v>0</v>
      </c>
      <c r="AA18" s="134" t="str">
        <f>IF(OR(F17="",F18="",F19=""),"yes","")</f>
        <v/>
      </c>
    </row>
    <row r="19" spans="1:27" x14ac:dyDescent="0.2">
      <c r="A19" s="92"/>
      <c r="B19" s="135"/>
      <c r="C19" s="2" t="s">
        <v>164</v>
      </c>
      <c r="D19" s="135"/>
      <c r="E19" s="136" t="s">
        <v>41</v>
      </c>
      <c r="F19" s="600">
        <f>'[3]Page 3'!$F$19</f>
        <v>0</v>
      </c>
      <c r="G19" s="104">
        <v>0</v>
      </c>
    </row>
    <row r="21" spans="1:27" x14ac:dyDescent="0.2">
      <c r="D21" s="2"/>
      <c r="E21" s="137"/>
      <c r="F21" s="2"/>
    </row>
    <row r="22" spans="1:27" x14ac:dyDescent="0.2">
      <c r="A22" s="138"/>
      <c r="B22" s="139"/>
      <c r="C22" s="139"/>
      <c r="D22" s="139"/>
      <c r="E22" s="139"/>
      <c r="F22" s="73" t="s">
        <v>165</v>
      </c>
    </row>
    <row r="23" spans="1:27" x14ac:dyDescent="0.2">
      <c r="A23" s="140" t="s">
        <v>166</v>
      </c>
      <c r="B23" s="141"/>
      <c r="C23" s="141"/>
      <c r="D23" s="142"/>
      <c r="E23" s="137"/>
      <c r="F23" s="85">
        <v>1010</v>
      </c>
    </row>
    <row r="24" spans="1:27" x14ac:dyDescent="0.2">
      <c r="A24" s="70" t="s">
        <v>167</v>
      </c>
      <c r="B24" s="71"/>
      <c r="C24" s="71"/>
      <c r="D24" s="132"/>
      <c r="E24" s="143" t="s">
        <v>43</v>
      </c>
      <c r="F24" s="598">
        <v>0</v>
      </c>
    </row>
    <row r="25" spans="1:27" x14ac:dyDescent="0.2">
      <c r="A25" s="88"/>
      <c r="B25" t="s">
        <v>168</v>
      </c>
      <c r="D25" s="117"/>
      <c r="E25" s="63" t="s">
        <v>45</v>
      </c>
      <c r="F25" s="600">
        <f>-(SUMIFS('Accounting data'!$G$2:$G$37000,'Accounting data'!$H$2:$H$37000,"1010*",'Accounting data'!$K$2:$K$37000,"3*"))</f>
        <v>3354923</v>
      </c>
    </row>
    <row r="26" spans="1:27" x14ac:dyDescent="0.2">
      <c r="A26" s="88"/>
      <c r="B26" t="s">
        <v>169</v>
      </c>
      <c r="D26" s="117"/>
      <c r="E26" s="143" t="s">
        <v>47</v>
      </c>
      <c r="F26" s="600">
        <f>-(SUMIFS('Accounting data'!$G$2:$G$37000,'Accounting data'!$H$2:$H$37000,"1010*",'Accounting data'!$K$2:$K$37000,"15*"))</f>
        <v>0</v>
      </c>
    </row>
    <row r="27" spans="1:27" x14ac:dyDescent="0.2">
      <c r="A27" s="88" t="s">
        <v>170</v>
      </c>
      <c r="D27" s="117"/>
      <c r="E27" s="143" t="s">
        <v>49</v>
      </c>
      <c r="F27" s="600">
        <f>F25+F26</f>
        <v>3354923</v>
      </c>
    </row>
    <row r="28" spans="1:27" x14ac:dyDescent="0.2">
      <c r="A28" s="88" t="s">
        <v>171</v>
      </c>
      <c r="D28" s="117"/>
      <c r="E28" s="143" t="s">
        <v>51</v>
      </c>
      <c r="F28" s="600">
        <f>F24+F27</f>
        <v>3354923</v>
      </c>
    </row>
    <row r="29" spans="1:27" x14ac:dyDescent="0.2">
      <c r="A29" s="88" t="s">
        <v>172</v>
      </c>
      <c r="D29" s="117"/>
      <c r="E29" s="143" t="s">
        <v>53</v>
      </c>
      <c r="F29" s="600">
        <f>K13+G17+G18+G19</f>
        <v>3354923</v>
      </c>
    </row>
    <row r="30" spans="1:27" x14ac:dyDescent="0.2">
      <c r="A30" s="92" t="s">
        <v>173</v>
      </c>
      <c r="B30" s="2"/>
      <c r="C30" s="2"/>
      <c r="D30" s="121"/>
      <c r="E30" s="144" t="s">
        <v>55</v>
      </c>
      <c r="F30" s="600">
        <f>F28-F29</f>
        <v>0</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8" sqref="F28"/>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7" t="s">
        <v>0</v>
      </c>
      <c r="C1" s="735" t="str">
        <f>'Cover Page'!D1</f>
        <v>ASU Preparatory Academy - Digital</v>
      </c>
      <c r="D1" s="735"/>
      <c r="F1" s="615"/>
      <c r="G1" s="59" t="s">
        <v>1</v>
      </c>
      <c r="H1" s="735" t="str">
        <f>'Cover Page'!M1</f>
        <v>Maricopa</v>
      </c>
      <c r="I1" s="735"/>
      <c r="J1" s="615"/>
      <c r="K1" s="59"/>
      <c r="L1" s="59" t="s">
        <v>2</v>
      </c>
      <c r="M1" s="617" t="str">
        <f>'Cover Page'!R1</f>
        <v>078284000</v>
      </c>
    </row>
    <row r="2" spans="1:27" ht="12.75" customHeight="1" x14ac:dyDescent="0.2">
      <c r="A2" s="615"/>
      <c r="B2" s="615"/>
      <c r="C2" s="615"/>
      <c r="D2" s="615"/>
      <c r="E2" s="615"/>
      <c r="F2" s="615"/>
      <c r="G2" s="615"/>
      <c r="H2" s="615"/>
      <c r="I2" s="615"/>
      <c r="J2" s="615"/>
    </row>
    <row r="3" spans="1:27" ht="12.75" customHeight="1" x14ac:dyDescent="0.2">
      <c r="A3" s="145"/>
      <c r="B3" s="71"/>
      <c r="C3" s="71"/>
      <c r="D3" s="71"/>
      <c r="E3" s="71"/>
      <c r="F3" s="145" t="s">
        <v>20</v>
      </c>
      <c r="G3" s="622" t="s">
        <v>174</v>
      </c>
      <c r="H3" s="750" t="s">
        <v>90</v>
      </c>
      <c r="I3" s="751"/>
      <c r="J3" s="615"/>
    </row>
    <row r="4" spans="1:27" ht="12.75" customHeight="1" x14ac:dyDescent="0.2">
      <c r="A4" s="116" t="s">
        <v>92</v>
      </c>
      <c r="F4" s="78" t="s">
        <v>175</v>
      </c>
      <c r="G4" s="80" t="s">
        <v>95</v>
      </c>
      <c r="H4" s="622"/>
      <c r="I4" s="146"/>
      <c r="J4" s="615"/>
    </row>
    <row r="5" spans="1:27" ht="12.75" customHeight="1" x14ac:dyDescent="0.2">
      <c r="A5" s="92"/>
      <c r="B5" s="2"/>
      <c r="C5" s="2"/>
      <c r="D5" s="2"/>
      <c r="E5" s="2"/>
      <c r="F5" s="78">
        <v>1000</v>
      </c>
      <c r="G5" s="80">
        <v>2000</v>
      </c>
      <c r="H5" s="85" t="s">
        <v>101</v>
      </c>
      <c r="I5" s="628" t="s">
        <v>23</v>
      </c>
      <c r="J5" s="615"/>
    </row>
    <row r="6" spans="1:27" ht="12.75" customHeight="1" x14ac:dyDescent="0.2">
      <c r="A6" s="86" t="s">
        <v>176</v>
      </c>
      <c r="B6" s="71"/>
      <c r="C6" s="71"/>
      <c r="D6" s="71"/>
      <c r="E6" s="147"/>
      <c r="F6" s="148"/>
      <c r="G6" s="148"/>
      <c r="H6" s="148"/>
      <c r="I6" s="148"/>
      <c r="J6" s="149"/>
    </row>
    <row r="7" spans="1:27" ht="12.75" customHeight="1" x14ac:dyDescent="0.2">
      <c r="A7" s="88"/>
      <c r="B7" t="s">
        <v>177</v>
      </c>
      <c r="E7" s="150">
        <v>1</v>
      </c>
      <c r="F7" s="50">
        <v>0</v>
      </c>
      <c r="G7" s="50">
        <v>0</v>
      </c>
      <c r="H7" s="605">
        <f>[3]!IIPTeacherCompensationIncreases</f>
        <v>0</v>
      </c>
      <c r="I7" s="605">
        <f>SUM(F7:G7)</f>
        <v>0</v>
      </c>
      <c r="J7" s="151">
        <v>1</v>
      </c>
      <c r="AA7" s="48" t="str">
        <f>IF(OR(F7="",F8="",F9="",F10="",G7="",G9="",G10="",G23="",G24="",G25="",G26="",G27=""),"yes","")</f>
        <v/>
      </c>
    </row>
    <row r="8" spans="1:27" ht="12.75" customHeight="1" x14ac:dyDescent="0.2">
      <c r="A8" s="88"/>
      <c r="B8" t="s">
        <v>178</v>
      </c>
      <c r="E8" s="152">
        <v>2</v>
      </c>
      <c r="F8" s="50">
        <v>0</v>
      </c>
      <c r="G8" s="153"/>
      <c r="H8" s="598">
        <f>[3]!IIPClassSizeReduction</f>
        <v>0</v>
      </c>
      <c r="I8" s="600">
        <f>SUM(F8:G8)</f>
        <v>0</v>
      </c>
      <c r="J8" s="151">
        <v>2</v>
      </c>
    </row>
    <row r="9" spans="1:27" ht="12.75" customHeight="1" x14ac:dyDescent="0.2">
      <c r="A9" s="88"/>
      <c r="B9" t="s">
        <v>179</v>
      </c>
      <c r="E9" s="152">
        <v>3</v>
      </c>
      <c r="F9" s="49">
        <v>0</v>
      </c>
      <c r="G9" s="49">
        <v>0</v>
      </c>
      <c r="H9" s="598">
        <f>[3]!IIPDropoutPreventionPrograms</f>
        <v>0</v>
      </c>
      <c r="I9" s="600">
        <f>SUM(F9:G9)</f>
        <v>0</v>
      </c>
      <c r="J9" s="151">
        <v>3</v>
      </c>
    </row>
    <row r="10" spans="1:27" ht="12.75" customHeight="1" x14ac:dyDescent="0.2">
      <c r="A10" s="88"/>
      <c r="B10" t="s">
        <v>180</v>
      </c>
      <c r="E10" s="152">
        <v>4</v>
      </c>
      <c r="F10" s="49">
        <v>265142</v>
      </c>
      <c r="G10" s="49">
        <v>0</v>
      </c>
      <c r="H10" s="598">
        <f>[3]!IIPInstructionalImprovementPrograms</f>
        <v>4654</v>
      </c>
      <c r="I10" s="600">
        <f>SUM(F10:G10)</f>
        <v>265142</v>
      </c>
      <c r="J10" s="151">
        <v>4</v>
      </c>
      <c r="K10" s="730" t="str">
        <f>IF('Page 2'!J48=0,"",IF(('Page 4'!I11=0),"If the Charter did not have any expense, verify by checking the box in A18 on the Cover Page.",""))</f>
        <v/>
      </c>
      <c r="L10" s="730"/>
      <c r="M10" s="730"/>
      <c r="N10" s="730"/>
      <c r="O10" s="730"/>
      <c r="P10" s="730"/>
      <c r="Q10" s="730"/>
      <c r="R10" s="730"/>
      <c r="S10" s="730"/>
      <c r="T10" s="730"/>
      <c r="U10" s="730"/>
      <c r="V10" s="730"/>
      <c r="W10" s="730"/>
      <c r="X10" s="730"/>
      <c r="Y10" s="730"/>
      <c r="Z10" s="730"/>
    </row>
    <row r="11" spans="1:27" ht="12.75" customHeight="1" x14ac:dyDescent="0.2">
      <c r="A11" s="92" t="s">
        <v>181</v>
      </c>
      <c r="B11" s="2"/>
      <c r="C11" s="2"/>
      <c r="D11" s="2"/>
      <c r="E11" s="154">
        <v>5</v>
      </c>
      <c r="F11" s="600">
        <f>SUM(F6:F10)</f>
        <v>265142</v>
      </c>
      <c r="G11" s="600">
        <f>SUM(G6:G10)</f>
        <v>0</v>
      </c>
      <c r="H11" s="600">
        <f>SUM(H7:H10)</f>
        <v>4654</v>
      </c>
      <c r="I11" s="600">
        <f>SUM(I7:I10)</f>
        <v>265142</v>
      </c>
      <c r="J11" s="151">
        <v>5</v>
      </c>
      <c r="K11" s="730" t="str">
        <f>IF('Page 2'!J48=0,"",IF(('Page 4'!I11&lt;&gt;'Page 2'!J44),"Total expenses for Instructional Improvement Project on line 5 should agree to the line 35 on page 2.",""))</f>
        <v/>
      </c>
      <c r="L11" s="730"/>
      <c r="M11" s="730"/>
      <c r="N11" s="730"/>
      <c r="O11" s="730"/>
      <c r="P11" s="730"/>
      <c r="Q11" s="730"/>
      <c r="R11" s="730"/>
      <c r="S11" s="730"/>
      <c r="T11" s="730"/>
      <c r="U11" s="730"/>
      <c r="V11" s="730"/>
      <c r="W11" s="730"/>
      <c r="X11" s="730"/>
      <c r="Y11" s="730"/>
      <c r="Z11" s="730"/>
    </row>
    <row r="12" spans="1:27" ht="12.75" customHeight="1" x14ac:dyDescent="0.2">
      <c r="K12" s="619"/>
    </row>
    <row r="13" spans="1:27" ht="12.75" customHeight="1" x14ac:dyDescent="0.2">
      <c r="A13" s="70"/>
      <c r="B13" s="71"/>
      <c r="C13" s="71"/>
      <c r="D13" s="71"/>
      <c r="E13" s="72"/>
      <c r="F13" s="82"/>
    </row>
    <row r="14" spans="1:27" ht="12.75" customHeight="1" x14ac:dyDescent="0.2">
      <c r="A14" s="83" t="s">
        <v>182</v>
      </c>
      <c r="B14" s="2"/>
      <c r="C14" s="2"/>
      <c r="D14" s="2"/>
      <c r="E14" s="84"/>
      <c r="F14" s="155" t="s">
        <v>23</v>
      </c>
    </row>
    <row r="15" spans="1:27" ht="12.75" customHeight="1" x14ac:dyDescent="0.2">
      <c r="A15" s="88" t="s">
        <v>167</v>
      </c>
      <c r="B15" s="615"/>
      <c r="D15" s="156"/>
      <c r="E15" s="157">
        <v>6</v>
      </c>
      <c r="F15" s="598">
        <f>[4]!AddlInstrImprProjEndBal</f>
        <v>0</v>
      </c>
      <c r="G15" s="151">
        <v>6</v>
      </c>
      <c r="I15" s="619"/>
      <c r="J15" s="619"/>
    </row>
    <row r="16" spans="1:27" ht="12.75" customHeight="1" x14ac:dyDescent="0.2">
      <c r="A16" s="158" t="s">
        <v>168</v>
      </c>
      <c r="B16" s="26"/>
      <c r="D16" s="159"/>
      <c r="E16" s="157">
        <v>7</v>
      </c>
      <c r="F16" s="600">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265142</v>
      </c>
      <c r="G16" s="151">
        <v>7</v>
      </c>
      <c r="I16" s="619"/>
      <c r="J16" s="619"/>
    </row>
    <row r="17" spans="1:12" ht="12.75" customHeight="1" x14ac:dyDescent="0.2">
      <c r="A17" s="158" t="s">
        <v>183</v>
      </c>
      <c r="B17" s="26"/>
      <c r="D17" s="159"/>
      <c r="E17" s="157">
        <v>8</v>
      </c>
      <c r="F17" s="600">
        <f>SUM(F15:F16)</f>
        <v>265142</v>
      </c>
      <c r="G17" s="151">
        <v>8</v>
      </c>
      <c r="I17" s="619"/>
      <c r="J17" s="619"/>
    </row>
    <row r="18" spans="1:12" ht="12.75" customHeight="1" x14ac:dyDescent="0.2">
      <c r="A18" s="158" t="s">
        <v>184</v>
      </c>
      <c r="D18" s="159"/>
      <c r="E18" s="157">
        <v>9</v>
      </c>
      <c r="F18" s="600">
        <f>ActualTotalInstImpExp</f>
        <v>265142</v>
      </c>
      <c r="G18" s="151">
        <v>9</v>
      </c>
      <c r="I18" s="619"/>
      <c r="J18" s="619"/>
    </row>
    <row r="19" spans="1:12" ht="12.75" customHeight="1" x14ac:dyDescent="0.2">
      <c r="A19" s="160" t="s">
        <v>185</v>
      </c>
      <c r="B19" s="2"/>
      <c r="C19" s="2"/>
      <c r="D19" s="161"/>
      <c r="E19" s="162">
        <v>10</v>
      </c>
      <c r="F19" s="600">
        <f>F17-F18</f>
        <v>0</v>
      </c>
      <c r="G19" s="151">
        <v>10</v>
      </c>
    </row>
    <row r="20" spans="1:12" ht="12.75" customHeight="1" x14ac:dyDescent="0.2">
      <c r="A20" s="156"/>
      <c r="D20" s="156"/>
      <c r="E20" s="157"/>
      <c r="F20" s="163"/>
      <c r="G20" s="151"/>
    </row>
    <row r="21" spans="1:12" ht="12.75" customHeight="1" x14ac:dyDescent="0.2">
      <c r="A21" s="70"/>
      <c r="B21" s="71"/>
      <c r="C21" s="71"/>
      <c r="D21" s="164"/>
      <c r="E21" s="165"/>
      <c r="F21" s="166"/>
      <c r="G21" s="166"/>
      <c r="H21" s="151"/>
    </row>
    <row r="22" spans="1:12" ht="12.75" customHeight="1" x14ac:dyDescent="0.2">
      <c r="A22" s="753" t="s">
        <v>186</v>
      </c>
      <c r="B22" s="753"/>
      <c r="C22" s="753"/>
      <c r="D22" s="753"/>
      <c r="E22" s="167"/>
      <c r="F22" s="168" t="s">
        <v>101</v>
      </c>
      <c r="G22" s="168" t="s">
        <v>23</v>
      </c>
      <c r="H22" s="169"/>
    </row>
    <row r="23" spans="1:12" ht="12.75" customHeight="1" x14ac:dyDescent="0.2">
      <c r="A23" s="170"/>
      <c r="B23" s="71" t="s">
        <v>187</v>
      </c>
      <c r="C23" s="71"/>
      <c r="D23" s="171"/>
      <c r="E23" s="172">
        <v>1</v>
      </c>
      <c r="F23" s="173"/>
      <c r="G23" s="51">
        <v>0</v>
      </c>
      <c r="H23" s="174">
        <v>1</v>
      </c>
    </row>
    <row r="24" spans="1:12" ht="12.75" customHeight="1" x14ac:dyDescent="0.2">
      <c r="A24" s="175"/>
      <c r="B24" t="s">
        <v>188</v>
      </c>
      <c r="D24" s="159"/>
      <c r="E24" s="176">
        <v>2</v>
      </c>
      <c r="F24" s="173"/>
      <c r="G24" s="51">
        <v>0</v>
      </c>
      <c r="H24" s="174">
        <v>2</v>
      </c>
    </row>
    <row r="25" spans="1:12" ht="12.75" customHeight="1" x14ac:dyDescent="0.2">
      <c r="A25" s="175"/>
      <c r="B25" t="s">
        <v>189</v>
      </c>
      <c r="D25" s="159"/>
      <c r="E25" s="176">
        <v>3</v>
      </c>
      <c r="F25" s="173"/>
      <c r="G25" s="51">
        <v>0</v>
      </c>
      <c r="H25" s="174">
        <v>3</v>
      </c>
    </row>
    <row r="26" spans="1:12" ht="12.75" customHeight="1" x14ac:dyDescent="0.2">
      <c r="A26" s="175"/>
      <c r="B26" t="s">
        <v>190</v>
      </c>
      <c r="D26" s="159"/>
      <c r="E26" s="176">
        <v>4</v>
      </c>
      <c r="F26" s="173"/>
      <c r="G26" s="51">
        <v>0</v>
      </c>
      <c r="H26" s="174">
        <v>4</v>
      </c>
    </row>
    <row r="27" spans="1:12" ht="12.75" customHeight="1" x14ac:dyDescent="0.2">
      <c r="A27" s="175"/>
      <c r="B27" t="s">
        <v>191</v>
      </c>
      <c r="D27" s="159"/>
      <c r="E27" s="176">
        <v>5</v>
      </c>
      <c r="F27" s="173"/>
      <c r="G27" s="51">
        <v>0</v>
      </c>
      <c r="H27" s="174">
        <v>5</v>
      </c>
    </row>
    <row r="28" spans="1:12" ht="12.75" customHeight="1" x14ac:dyDescent="0.2">
      <c r="A28" s="92" t="s">
        <v>192</v>
      </c>
      <c r="B28" s="2"/>
      <c r="C28" s="2"/>
      <c r="D28" s="2"/>
      <c r="E28" s="177">
        <v>6</v>
      </c>
      <c r="F28" s="598">
        <f>'[3]Page 2'!$E$35</f>
        <v>3000000</v>
      </c>
      <c r="G28" s="600">
        <f>SUM(G23:G27)</f>
        <v>0</v>
      </c>
      <c r="H28" s="174">
        <v>6</v>
      </c>
      <c r="I28" s="615"/>
      <c r="J28" s="615"/>
      <c r="K28" s="615"/>
      <c r="L28" s="615"/>
    </row>
    <row r="29" spans="1:12" ht="12.75" customHeight="1" x14ac:dyDescent="0.2">
      <c r="F29" s="178"/>
      <c r="G29" s="178"/>
      <c r="H29" s="178"/>
      <c r="I29" s="178"/>
      <c r="J29" s="178"/>
      <c r="K29" s="179"/>
      <c r="L29" s="178"/>
    </row>
    <row r="30" spans="1:12" ht="11.25" customHeight="1" x14ac:dyDescent="0.2">
      <c r="A30" s="616"/>
      <c r="D30" s="615"/>
      <c r="F30" s="1"/>
      <c r="G30" s="1"/>
    </row>
    <row r="31" spans="1:12" ht="11.25" customHeight="1" x14ac:dyDescent="0.2">
      <c r="A31" s="595"/>
      <c r="B31" s="180"/>
      <c r="C31" s="180"/>
      <c r="D31" s="181"/>
      <c r="E31" s="180"/>
      <c r="F31" s="182"/>
      <c r="G31" s="183"/>
      <c r="H31" s="184"/>
    </row>
    <row r="32" spans="1:12" ht="11.25" customHeight="1" x14ac:dyDescent="0.2">
      <c r="A32" s="595"/>
      <c r="B32" s="180"/>
      <c r="C32" s="180"/>
      <c r="D32" s="181"/>
      <c r="E32" s="180"/>
      <c r="F32" s="182"/>
      <c r="G32" s="183"/>
      <c r="H32" s="184"/>
    </row>
    <row r="33" spans="1:8" ht="11.25" customHeight="1" x14ac:dyDescent="0.2">
      <c r="A33" s="595"/>
      <c r="B33" s="180"/>
      <c r="C33" s="180"/>
      <c r="D33" s="181"/>
      <c r="E33" s="180"/>
      <c r="F33" s="182"/>
      <c r="G33" s="183"/>
      <c r="H33" s="184"/>
    </row>
    <row r="34" spans="1:8" ht="11.25" customHeight="1" x14ac:dyDescent="0.2">
      <c r="A34" s="595"/>
      <c r="B34" s="180"/>
      <c r="C34" s="180"/>
      <c r="D34" s="181"/>
      <c r="E34" s="180"/>
      <c r="F34" s="182"/>
      <c r="G34" s="183"/>
      <c r="H34" s="184"/>
    </row>
    <row r="35" spans="1:8" ht="11.25" customHeight="1" x14ac:dyDescent="0.2">
      <c r="A35" s="595"/>
      <c r="B35" s="180"/>
      <c r="C35" s="180"/>
      <c r="D35" s="181"/>
      <c r="E35" s="180"/>
      <c r="F35" s="182"/>
      <c r="G35" s="183"/>
      <c r="H35" s="184"/>
    </row>
    <row r="36" spans="1:8" ht="11.25" customHeight="1" x14ac:dyDescent="0.2">
      <c r="A36" s="595"/>
      <c r="D36" s="595"/>
      <c r="F36" s="185"/>
      <c r="G36" s="185"/>
      <c r="H36" s="90"/>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election activeCell="H13" sqref="H13"/>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7" t="s">
        <v>0</v>
      </c>
      <c r="D1" s="735" t="str">
        <f>'Cover Page'!D1</f>
        <v>ASU Preparatory Academy - Digital</v>
      </c>
      <c r="E1" s="735"/>
      <c r="F1" s="615"/>
      <c r="G1" s="615"/>
      <c r="I1" s="59" t="s">
        <v>1</v>
      </c>
      <c r="J1" s="735" t="str">
        <f>'Cover Page'!M1</f>
        <v>Maricopa</v>
      </c>
      <c r="K1" s="735"/>
      <c r="M1" s="59" t="s">
        <v>2</v>
      </c>
      <c r="N1" s="59"/>
      <c r="O1" s="617" t="str">
        <f>'Cover Page'!R1</f>
        <v>078284000</v>
      </c>
    </row>
    <row r="2" spans="1:28" ht="12" customHeight="1" x14ac:dyDescent="0.2">
      <c r="A2" s="67"/>
      <c r="B2" s="67"/>
      <c r="C2" s="67"/>
      <c r="D2" s="67"/>
      <c r="E2" s="67"/>
      <c r="F2" s="67"/>
      <c r="G2" s="67"/>
      <c r="H2" s="67"/>
      <c r="I2" s="67"/>
      <c r="J2" s="67"/>
    </row>
    <row r="3" spans="1:28" ht="12" customHeight="1" x14ac:dyDescent="0.2">
      <c r="A3" s="86"/>
      <c r="B3" s="71"/>
      <c r="C3" s="71"/>
      <c r="D3" s="71"/>
      <c r="E3" s="72"/>
      <c r="F3" s="186" t="s">
        <v>193</v>
      </c>
      <c r="G3" s="72"/>
      <c r="H3" s="622"/>
      <c r="I3" s="187" t="s">
        <v>194</v>
      </c>
      <c r="J3" s="622" t="s">
        <v>89</v>
      </c>
      <c r="K3" s="72"/>
      <c r="L3" s="82"/>
      <c r="M3" s="750" t="s">
        <v>195</v>
      </c>
      <c r="N3" s="760"/>
      <c r="O3" s="622" t="s">
        <v>196</v>
      </c>
    </row>
    <row r="4" spans="1:28" ht="12" customHeight="1" x14ac:dyDescent="0.2">
      <c r="A4" s="94" t="s">
        <v>197</v>
      </c>
      <c r="E4" s="77"/>
      <c r="F4" s="80" t="s">
        <v>198</v>
      </c>
      <c r="G4" s="146" t="s">
        <v>23</v>
      </c>
      <c r="H4" s="80" t="s">
        <v>93</v>
      </c>
      <c r="I4" s="78" t="s">
        <v>94</v>
      </c>
      <c r="J4" s="80" t="s">
        <v>95</v>
      </c>
      <c r="K4" s="146" t="s">
        <v>96</v>
      </c>
      <c r="L4" s="80" t="s">
        <v>97</v>
      </c>
      <c r="M4" s="188"/>
      <c r="O4" s="80" t="s">
        <v>198</v>
      </c>
    </row>
    <row r="5" spans="1:28" ht="12" customHeight="1" x14ac:dyDescent="0.2">
      <c r="A5" s="92"/>
      <c r="B5" s="2"/>
      <c r="C5" s="2"/>
      <c r="D5" s="2"/>
      <c r="E5" s="189"/>
      <c r="F5" s="85" t="s">
        <v>199</v>
      </c>
      <c r="G5" s="190" t="s">
        <v>200</v>
      </c>
      <c r="H5" s="85">
        <v>6100</v>
      </c>
      <c r="I5" s="627">
        <v>6200</v>
      </c>
      <c r="J5" s="85" t="s">
        <v>100</v>
      </c>
      <c r="K5" s="628">
        <v>6600</v>
      </c>
      <c r="L5" s="85">
        <v>6800</v>
      </c>
      <c r="M5" s="191" t="s">
        <v>101</v>
      </c>
      <c r="N5" s="192" t="s">
        <v>23</v>
      </c>
      <c r="O5" s="85" t="s">
        <v>199</v>
      </c>
    </row>
    <row r="6" spans="1:28" ht="11.25" customHeight="1" x14ac:dyDescent="0.2">
      <c r="A6" s="86" t="s">
        <v>201</v>
      </c>
      <c r="B6" s="71"/>
      <c r="C6" s="71"/>
      <c r="D6" s="71"/>
      <c r="F6" s="756"/>
      <c r="G6" s="756"/>
      <c r="H6" s="756"/>
      <c r="I6" s="756"/>
      <c r="J6" s="756"/>
      <c r="K6" s="756"/>
      <c r="L6" s="756"/>
      <c r="M6" s="756"/>
      <c r="N6" s="623"/>
      <c r="O6" s="756"/>
    </row>
    <row r="7" spans="1:28" ht="11.25" customHeight="1" x14ac:dyDescent="0.2">
      <c r="A7" s="116" t="s">
        <v>168</v>
      </c>
      <c r="E7" s="193"/>
      <c r="F7" s="757"/>
      <c r="G7" s="757"/>
      <c r="H7" s="757"/>
      <c r="I7" s="757"/>
      <c r="J7" s="757"/>
      <c r="K7" s="757"/>
      <c r="L7" s="757"/>
      <c r="M7" s="757"/>
      <c r="N7" s="624"/>
      <c r="O7" s="757"/>
      <c r="V7" s="596"/>
    </row>
    <row r="8" spans="1:28" ht="12" customHeight="1" x14ac:dyDescent="0.2">
      <c r="A8" s="116"/>
      <c r="B8" t="s">
        <v>202</v>
      </c>
      <c r="E8" s="193">
        <v>1</v>
      </c>
      <c r="F8" s="194"/>
      <c r="G8" s="600">
        <f>-(SUMIFS('Accounting data'!$G$2:$G$37000,'Accounting data'!$H$2:$H$37000,"1071*",'Accounting data'!$K$2:$K$37000,"32*"))</f>
        <v>0</v>
      </c>
      <c r="H8" s="194"/>
      <c r="I8" s="194"/>
      <c r="J8" s="194"/>
      <c r="K8" s="194"/>
      <c r="L8" s="194"/>
      <c r="M8" s="194"/>
      <c r="N8" s="194"/>
      <c r="O8" s="194"/>
      <c r="P8" s="151">
        <v>1</v>
      </c>
      <c r="V8" s="596"/>
    </row>
    <row r="9" spans="1:28" ht="12" customHeight="1" x14ac:dyDescent="0.2">
      <c r="A9" s="116"/>
      <c r="B9" t="s">
        <v>203</v>
      </c>
      <c r="E9" s="193">
        <v>2</v>
      </c>
      <c r="F9" s="194"/>
      <c r="G9" s="600">
        <f>-(SUMIFS('Accounting data'!$G$2:$G$37000,'Accounting data'!$H$2:$H$37000,"1071*",'Accounting data'!$K$2:$K$37000,"15*"))</f>
        <v>0</v>
      </c>
      <c r="H9" s="194"/>
      <c r="I9" s="194"/>
      <c r="J9" s="194"/>
      <c r="K9" s="194"/>
      <c r="L9" s="194"/>
      <c r="M9" s="194"/>
      <c r="N9" s="194"/>
      <c r="O9" s="194"/>
      <c r="P9" s="151">
        <v>2</v>
      </c>
      <c r="V9" s="596"/>
    </row>
    <row r="10" spans="1:28" ht="12" customHeight="1" x14ac:dyDescent="0.2">
      <c r="A10" s="88" t="s">
        <v>204</v>
      </c>
      <c r="E10" s="193">
        <v>3</v>
      </c>
      <c r="F10" s="194"/>
      <c r="G10" s="600">
        <f>SUM(G8:G9)</f>
        <v>0</v>
      </c>
      <c r="H10" s="195"/>
      <c r="I10" s="195"/>
      <c r="J10" s="195"/>
      <c r="K10" s="195"/>
      <c r="L10" s="195"/>
      <c r="M10" s="194"/>
      <c r="N10" s="194"/>
      <c r="O10" s="194"/>
      <c r="P10" s="151">
        <v>3</v>
      </c>
      <c r="V10" s="596"/>
    </row>
    <row r="11" spans="1:28" ht="11.25" customHeight="1" x14ac:dyDescent="0.2">
      <c r="A11" s="116" t="s">
        <v>92</v>
      </c>
      <c r="E11" s="196"/>
      <c r="F11" s="197"/>
      <c r="G11" s="763"/>
      <c r="H11" s="198"/>
      <c r="I11" s="198"/>
      <c r="J11" s="198"/>
      <c r="K11" s="198"/>
      <c r="L11" s="198"/>
      <c r="M11" s="198"/>
      <c r="N11" s="198"/>
      <c r="O11" s="199"/>
      <c r="AB11" s="596"/>
    </row>
    <row r="12" spans="1:28" ht="12" customHeight="1" x14ac:dyDescent="0.2">
      <c r="A12" s="88" t="s">
        <v>205</v>
      </c>
      <c r="F12" s="200"/>
      <c r="G12" s="764"/>
      <c r="H12" s="201"/>
      <c r="I12" s="201"/>
      <c r="J12" s="201"/>
      <c r="K12" s="201"/>
      <c r="L12" s="201"/>
      <c r="M12" s="201"/>
      <c r="N12" s="201"/>
      <c r="O12" s="202"/>
    </row>
    <row r="13" spans="1:28" ht="12" customHeight="1" x14ac:dyDescent="0.2">
      <c r="A13" s="88"/>
      <c r="B13" t="s">
        <v>206</v>
      </c>
      <c r="E13" s="196">
        <v>4</v>
      </c>
      <c r="F13" s="203"/>
      <c r="G13" s="765"/>
      <c r="H13" s="605">
        <f>SUMIFS('Accounting data'!$G$2:$G$37000,'Accounting data'!$H$2:$H$37000,"1071*",'Accounting data'!$I$2:$I$37000,"260*",'Accounting data'!$J$2:$J$37000,"1*",'Accounting data'!$K$2:$K$37000,"61*")</f>
        <v>63456</v>
      </c>
      <c r="I13" s="605">
        <f>SUMIFS('Accounting data'!$G$2:$G$37000,'Accounting data'!$H$2:$H$37000,"1071*",'Accounting data'!$I$2:$I$37000,"260*",'Accounting data'!$J$2:$J$37000,"1*",'Accounting data'!$K$2:$K$37000,"62*")</f>
        <v>15689</v>
      </c>
      <c r="J13" s="605">
        <f>SUMIFS('Accounting data'!$G$2:$G$37000,'Accounting data'!$H$2:$H$37000,"1071*",'Accounting data'!$I$2:$I$37000,"260*",'Accounting data'!$J$2:$J$37000,"1*",'Accounting data'!$K$2:$K$37000,"63*")</f>
        <v>0</v>
      </c>
      <c r="K13" s="605">
        <f>SUMIFS('Accounting data'!$G$2:$G$37000,'Accounting data'!$H$2:$H$37000,"1071*",'Accounting data'!$I$2:$I$37000,"260*",'Accounting data'!$J$2:$J$37000,"1*",'Accounting data'!$K$2:$K$37000,"66*")</f>
        <v>0</v>
      </c>
      <c r="L13" s="605">
        <f>SUMIFS('Accounting data'!$G$2:$G$37000,'Accounting data'!$H$2:$H$37000,"1071*",'Accounting data'!$I$2:$I$37000,"260*",'Accounting data'!$J$2:$J$37000,"1*",'Accounting data'!$K$2:$K$37000,"68*")</f>
        <v>0</v>
      </c>
      <c r="M13" s="605">
        <f>[3]!SEIP1071P260F1000</f>
        <v>0</v>
      </c>
      <c r="N13" s="605">
        <f>SUM(H13:L13)</f>
        <v>79145</v>
      </c>
      <c r="O13" s="204"/>
      <c r="P13" s="151">
        <v>4</v>
      </c>
    </row>
    <row r="14" spans="1:28" ht="12" customHeight="1" x14ac:dyDescent="0.2">
      <c r="A14" s="88"/>
      <c r="B14" t="s">
        <v>207</v>
      </c>
      <c r="F14" s="197"/>
      <c r="G14" s="763"/>
      <c r="H14" s="201"/>
      <c r="I14" s="201"/>
      <c r="J14" s="201"/>
      <c r="K14" s="201"/>
      <c r="L14" s="201"/>
      <c r="M14" s="761">
        <f>[3]!SEIP1071P260F2100</f>
        <v>0</v>
      </c>
      <c r="N14" s="767">
        <f>SUM(H15:L15)</f>
        <v>78</v>
      </c>
      <c r="O14" s="199"/>
    </row>
    <row r="15" spans="1:28" ht="12" customHeight="1" x14ac:dyDescent="0.2">
      <c r="A15" s="88"/>
      <c r="C15" t="s">
        <v>208</v>
      </c>
      <c r="E15" s="193">
        <v>5</v>
      </c>
      <c r="F15" s="203"/>
      <c r="G15" s="765"/>
      <c r="H15" s="605">
        <f>SUMIFS('Accounting data'!$G$2:$G$37000,'Accounting data'!$H$2:$H$37000,"1071*",'Accounting data'!$I$2:$I$37000,"260*",'Accounting data'!$J$2:$J$37000,"21*",'Accounting data'!$K$2:$K$37000,"61*")</f>
        <v>0</v>
      </c>
      <c r="I15" s="605">
        <f>SUMIFS('Accounting data'!$G$2:$G$37000,'Accounting data'!$H$2:$H$37000,"1071*",'Accounting data'!$I$2:$I$37000,"260*",'Accounting data'!$J$2:$J$37000,"21*",'Accounting data'!$K$2:$K$37000,"62*")</f>
        <v>0</v>
      </c>
      <c r="J15" s="605">
        <f>SUMIFS('Accounting data'!$G$2:$G$37000,'Accounting data'!$H$2:$H$37000,"1071*",'Accounting data'!$I$2:$I$37000,"260*",'Accounting data'!$J$2:$J$37000,"21*",'Accounting data'!$K$2:$K$37000,"63*")</f>
        <v>78</v>
      </c>
      <c r="K15" s="605">
        <f>SUMIFS('Accounting data'!$G$2:$G$37000,'Accounting data'!$H$2:$H$37000,"1071*",'Accounting data'!$I$2:$I$37000,"260*",'Accounting data'!$J$2:$J$37000,"21*",'Accounting data'!$K$2:$K$37000,"66*")</f>
        <v>0</v>
      </c>
      <c r="L15" s="605">
        <f>SUMIFS('Accounting data'!$G$2:$G$37000,'Accounting data'!$H$2:$H$37000,"1071*",'Accounting data'!$I$2:$I$37000,"260*",'Accounting data'!$J$2:$J$37000,"21*",'Accounting data'!$K$2:$K$37000,"68*")</f>
        <v>0</v>
      </c>
      <c r="M15" s="762"/>
      <c r="N15" s="768"/>
      <c r="O15" s="204"/>
      <c r="P15" s="151">
        <v>5</v>
      </c>
    </row>
    <row r="16" spans="1:28" ht="12" customHeight="1" x14ac:dyDescent="0.2">
      <c r="A16" s="88"/>
      <c r="C16" t="s">
        <v>209</v>
      </c>
      <c r="E16" s="196">
        <v>6</v>
      </c>
      <c r="F16" s="205"/>
      <c r="G16" s="206"/>
      <c r="H16" s="605">
        <f>SUMIFS('Accounting data'!$G$2:$G$37000,'Accounting data'!$H$2:$H$37000,"1071*",'Accounting data'!$I$2:$I$37000,"260*",'Accounting data'!$J$2:$J$37000,"22*",'Accounting data'!$K$2:$K$37000,"61*")</f>
        <v>0</v>
      </c>
      <c r="I16" s="605">
        <f>SUMIFS('Accounting data'!$G$2:$G$37000,'Accounting data'!$H$2:$H$37000,"1071*",'Accounting data'!$I$2:$I$37000,"260*",'Accounting data'!$J$2:$J$37000,"22*",'Accounting data'!$K$2:$K$37000,"62*")</f>
        <v>0</v>
      </c>
      <c r="J16" s="605">
        <f>SUMIFS('Accounting data'!$G$2:$G$37000,'Accounting data'!$H$2:$H$37000,"1071*",'Accounting data'!$I$2:$I$37000,"260*",'Accounting data'!$J$2:$J$37000,"22*",'Accounting data'!$K$2:$K$37000,"63*")</f>
        <v>0</v>
      </c>
      <c r="K16" s="605">
        <f>SUMIFS('Accounting data'!$G$2:$G$37000,'Accounting data'!$H$2:$H$37000,"1071*",'Accounting data'!$I$2:$I$37000,"260*",'Accounting data'!$J$2:$J$37000,"22*",'Accounting data'!$K$2:$K$37000,"66*")</f>
        <v>0</v>
      </c>
      <c r="L16" s="605">
        <f>SUMIFS('Accounting data'!$G$2:$G$37000,'Accounting data'!$H$2:$H$37000,"1071*",'Accounting data'!$I$2:$I$37000,"260*",'Accounting data'!$J$2:$J$37000,"22*",'Accounting data'!$K$2:$K$37000,"68*")</f>
        <v>0</v>
      </c>
      <c r="M16" s="598">
        <f>[3]!SEIP1071P260F2200</f>
        <v>0</v>
      </c>
      <c r="N16" s="600">
        <f t="shared" ref="N16:N21" si="0">SUM(H16:L16)</f>
        <v>0</v>
      </c>
      <c r="O16" s="207"/>
      <c r="P16" s="151">
        <v>6</v>
      </c>
    </row>
    <row r="17" spans="1:16" ht="12" customHeight="1" x14ac:dyDescent="0.2">
      <c r="A17" s="88"/>
      <c r="C17" t="s">
        <v>210</v>
      </c>
      <c r="E17" s="193">
        <v>7</v>
      </c>
      <c r="F17" s="205"/>
      <c r="G17" s="206"/>
      <c r="H17" s="600">
        <f>SUMIFS('Accounting data'!$G$2:$G$37000,'Accounting data'!$H$2:$H$37000,"1071*",'Accounting data'!$I$2:$I$37000,"260*",'Accounting data'!$J$2:$J$37000,"23*",'Accounting data'!$K$2:$K$37000,"61*")</f>
        <v>0</v>
      </c>
      <c r="I17" s="600">
        <f>SUMIFS('Accounting data'!$G$2:$G$37000,'Accounting data'!$H$2:$H$37000,"1071*",'Accounting data'!$I$2:$I$37000,"260*",'Accounting data'!$J$2:$J$37000,"23*",'Accounting data'!$K$2:$K$37000,"62*")</f>
        <v>0</v>
      </c>
      <c r="J17" s="600">
        <f>SUMIFS('Accounting data'!$G$2:$G$37000,'Accounting data'!$H$2:$H$37000,"1071*",'Accounting data'!$I$2:$I$37000,"260*",'Accounting data'!$J$2:$J$37000,"23*",'Accounting data'!$K$2:$K$37000,"63*")</f>
        <v>0</v>
      </c>
      <c r="K17" s="600">
        <f>SUMIFS('Accounting data'!$G$2:$G$37000,'Accounting data'!$H$2:$H$37000,"1071*",'Accounting data'!$I$2:$I$37000,"260*",'Accounting data'!$J$2:$J$37000,"23*",'Accounting data'!$K$2:$K$37000,"66*")</f>
        <v>0</v>
      </c>
      <c r="L17" s="600">
        <f>SUMIFS('Accounting data'!$G$2:$G$37000,'Accounting data'!$H$2:$H$37000,"1071*",'Accounting data'!$I$2:$I$37000,"260*",'Accounting data'!$J$2:$J$37000,"23*",'Accounting data'!$K$2:$K$37000,"68*")</f>
        <v>0</v>
      </c>
      <c r="M17" s="598">
        <f>[3]!SEIP1071P260F2300</f>
        <v>0</v>
      </c>
      <c r="N17" s="600">
        <f t="shared" si="0"/>
        <v>0</v>
      </c>
      <c r="O17" s="207"/>
      <c r="P17" s="151">
        <v>7</v>
      </c>
    </row>
    <row r="18" spans="1:16" ht="12" customHeight="1" x14ac:dyDescent="0.2">
      <c r="A18" s="88"/>
      <c r="C18" t="s">
        <v>211</v>
      </c>
      <c r="E18" s="193">
        <v>8</v>
      </c>
      <c r="F18" s="205"/>
      <c r="G18" s="206"/>
      <c r="H18" s="600">
        <f>SUMIFS('Accounting data'!$G$2:$G$37000,'Accounting data'!$H$2:$H$37000,"1071*",'Accounting data'!$I$2:$I$37000,"260*",'Accounting data'!$J$2:$J$37000,"24*",'Accounting data'!$K$2:$K$37000,"61*")</f>
        <v>0</v>
      </c>
      <c r="I18" s="600">
        <f>SUMIFS('Accounting data'!$G$2:$G$37000,'Accounting data'!$H$2:$H$37000,"1071*",'Accounting data'!$I$2:$I$37000,"260*",'Accounting data'!$J$2:$J$37000,"24*",'Accounting data'!$K$2:$K$37000,"62*")</f>
        <v>0</v>
      </c>
      <c r="J18" s="600">
        <f>SUMIFS('Accounting data'!$G$2:$G$37000,'Accounting data'!$H$2:$H$37000,"1071*",'Accounting data'!$I$2:$I$37000,"260*",'Accounting data'!$J$2:$J$37000,"24*",'Accounting data'!$K$2:$K$37000,"63*")</f>
        <v>0</v>
      </c>
      <c r="K18" s="600">
        <f>SUMIFS('Accounting data'!$G$2:$G$37000,'Accounting data'!$H$2:$H$37000,"1071*",'Accounting data'!$I$2:$I$37000,"260*",'Accounting data'!$J$2:$J$37000,"24*",'Accounting data'!$K$2:$K$37000,"66*")</f>
        <v>0</v>
      </c>
      <c r="L18" s="600">
        <f>SUMIFS('Accounting data'!$G$2:$G$37000,'Accounting data'!$H$2:$H$37000,"1071*",'Accounting data'!$I$2:$I$37000,"260*",'Accounting data'!$J$2:$J$37000,"24*",'Accounting data'!$K$2:$K$37000,"68*")</f>
        <v>0</v>
      </c>
      <c r="M18" s="598">
        <f>[3]!SEIP1071P260F2400</f>
        <v>0</v>
      </c>
      <c r="N18" s="600">
        <f t="shared" si="0"/>
        <v>0</v>
      </c>
      <c r="O18" s="207"/>
      <c r="P18" s="151">
        <v>8</v>
      </c>
    </row>
    <row r="19" spans="1:16" ht="12" customHeight="1" x14ac:dyDescent="0.2">
      <c r="A19" s="88"/>
      <c r="C19" t="s">
        <v>212</v>
      </c>
      <c r="E19" s="193">
        <v>9</v>
      </c>
      <c r="F19" s="205"/>
      <c r="G19" s="206"/>
      <c r="H19" s="600">
        <f>SUMIFS('Accounting data'!$G$2:$G$37000,'Accounting data'!$H$2:$H$37000,"1071*",'Accounting data'!$I$2:$I$37000,"260*",'Accounting data'!$J$2:$J$37000,"25*",'Accounting data'!$K$2:$K$37000,"61*")</f>
        <v>0</v>
      </c>
      <c r="I19" s="600">
        <f>SUMIFS('Accounting data'!$G$2:$G$37000,'Accounting data'!$H$2:$H$37000,"1071*",'Accounting data'!$I$2:$I$37000,"260*",'Accounting data'!$J$2:$J$37000,"25*",'Accounting data'!$K$2:$K$37000,"62*")</f>
        <v>0</v>
      </c>
      <c r="J19" s="600">
        <f>SUMIFS('Accounting data'!$G$2:$G$37000,'Accounting data'!$H$2:$H$37000,"1071*",'Accounting data'!$I$2:$I$37000,"260*",'Accounting data'!$J$2:$J$37000,"25*",'Accounting data'!$K$2:$K$37000,"63*")</f>
        <v>0</v>
      </c>
      <c r="K19" s="600">
        <f>SUMIFS('Accounting data'!$G$2:$G$37000,'Accounting data'!$H$2:$H$37000,"1071*",'Accounting data'!$I$2:$I$37000,"260*",'Accounting data'!$J$2:$J$37000,"25*",'Accounting data'!$K$2:$K$37000,"66*")</f>
        <v>0</v>
      </c>
      <c r="L19" s="600">
        <f>SUMIFS('Accounting data'!$G$2:$G$37000,'Accounting data'!$H$2:$H$37000,"1071*",'Accounting data'!$I$2:$I$37000,"260*",'Accounting data'!$J$2:$J$37000,"25*",'Accounting data'!$K$2:$K$37000,"68*")</f>
        <v>0</v>
      </c>
      <c r="M19" s="598">
        <f>[3]!SEIP1071P260F2500</f>
        <v>0</v>
      </c>
      <c r="N19" s="600">
        <f t="shared" si="0"/>
        <v>0</v>
      </c>
      <c r="O19" s="207"/>
      <c r="P19" s="151">
        <v>9</v>
      </c>
    </row>
    <row r="20" spans="1:16" ht="12" customHeight="1" x14ac:dyDescent="0.2">
      <c r="A20" s="88"/>
      <c r="C20" t="s">
        <v>213</v>
      </c>
      <c r="E20" s="193">
        <v>10</v>
      </c>
      <c r="F20" s="205"/>
      <c r="G20" s="206"/>
      <c r="H20" s="600">
        <f>SUMIFS('Accounting data'!$G$2:$G$37000,'Accounting data'!$H$2:$H$37000,"1071*",'Accounting data'!$I$2:$I$37000,"260*",'Accounting data'!$J$2:$J$37000,"26*",'Accounting data'!$K$2:$K$37000,"61*")</f>
        <v>0</v>
      </c>
      <c r="I20" s="600">
        <f>SUMIFS('Accounting data'!$G$2:$G$37000,'Accounting data'!$H$2:$H$37000,"1071*",'Accounting data'!$I$2:$I$37000,"260*",'Accounting data'!$J$2:$J$37000,"26*",'Accounting data'!$K$2:$K$37000,"62*")</f>
        <v>0</v>
      </c>
      <c r="J20" s="600">
        <f>SUMIFS('Accounting data'!$G$2:$G$37000,'Accounting data'!$H$2:$H$37000,"1071*",'Accounting data'!$I$2:$I$37000,"260*",'Accounting data'!$J$2:$J$37000,"26*",'Accounting data'!$K$2:$K$37000,"63*")</f>
        <v>0</v>
      </c>
      <c r="K20" s="600">
        <f>SUMIFS('Accounting data'!$G$2:$G$37000,'Accounting data'!$H$2:$H$37000,"1071*",'Accounting data'!$I$2:$I$37000,"260*",'Accounting data'!$J$2:$J$37000,"26*",'Accounting data'!$K$2:$K$37000,"66*")</f>
        <v>0</v>
      </c>
      <c r="L20" s="600">
        <f>SUMIFS('Accounting data'!$G$2:$G$37000,'Accounting data'!$H$2:$H$37000,"1071*",'Accounting data'!$I$2:$I$37000,"260*",'Accounting data'!$J$2:$J$37000,"26*",'Accounting data'!$K$2:$K$37000,"68*")</f>
        <v>0</v>
      </c>
      <c r="M20" s="598">
        <f>[3]!SEIP1071P260F2600</f>
        <v>0</v>
      </c>
      <c r="N20" s="600">
        <f t="shared" si="0"/>
        <v>0</v>
      </c>
      <c r="O20" s="207"/>
      <c r="P20" s="151">
        <v>10</v>
      </c>
    </row>
    <row r="21" spans="1:16" ht="12" customHeight="1" x14ac:dyDescent="0.2">
      <c r="A21" s="88"/>
      <c r="C21" t="s">
        <v>214</v>
      </c>
      <c r="E21" s="193">
        <v>11</v>
      </c>
      <c r="F21" s="205"/>
      <c r="G21" s="206"/>
      <c r="H21" s="600">
        <f>SUMIFS('Accounting data'!$G$2:$G$37000,'Accounting data'!$H$2:$H$37000,"1071*",'Accounting data'!$I$2:$I$37000,"260*",'Accounting data'!$J$2:$J$37000,"29*",'Accounting data'!$K$2:$K$37000,"61*")</f>
        <v>0</v>
      </c>
      <c r="I21" s="600">
        <f>SUMIFS('Accounting data'!$G$2:$G$37000,'Accounting data'!$H$2:$H$37000,"1071*",'Accounting data'!$I$2:$I$37000,"260*",'Accounting data'!$J$2:$J$37000,"29*",'Accounting data'!$K$2:$K$37000,"62*")</f>
        <v>0</v>
      </c>
      <c r="J21" s="600">
        <f>SUMIFS('Accounting data'!$G$2:$G$37000,'Accounting data'!$H$2:$H$37000,"1071*",'Accounting data'!$I$2:$I$37000,"260*",'Accounting data'!$J$2:$J$37000,"29*",'Accounting data'!$K$2:$K$37000,"63*")</f>
        <v>0</v>
      </c>
      <c r="K21" s="600">
        <f>SUMIFS('Accounting data'!$G$2:$G$37000,'Accounting data'!$H$2:$H$37000,"1071*",'Accounting data'!$I$2:$I$37000,"260*",'Accounting data'!$J$2:$J$37000,"29*",'Accounting data'!$K$2:$K$37000,"66*")</f>
        <v>0</v>
      </c>
      <c r="L21" s="600">
        <f>SUMIFS('Accounting data'!$G$2:$G$37000,'Accounting data'!$H$2:$H$37000,"1071*",'Accounting data'!$I$2:$I$37000,"260*",'Accounting data'!$J$2:$J$37000,"29*",'Accounting data'!$K$2:$K$37000,"68*")</f>
        <v>0</v>
      </c>
      <c r="M21" s="598">
        <f>[3]!SEIP1071P260F2900</f>
        <v>0</v>
      </c>
      <c r="N21" s="600">
        <f t="shared" si="0"/>
        <v>0</v>
      </c>
      <c r="O21" s="207"/>
      <c r="P21" s="151">
        <v>11</v>
      </c>
    </row>
    <row r="22" spans="1:16" ht="12" customHeight="1" x14ac:dyDescent="0.2">
      <c r="A22" s="92"/>
      <c r="B22" s="2" t="s">
        <v>215</v>
      </c>
      <c r="C22" s="2"/>
      <c r="D22" s="2"/>
      <c r="E22" s="189">
        <v>12</v>
      </c>
      <c r="F22" s="205"/>
      <c r="G22" s="208"/>
      <c r="H22" s="600">
        <f>SUM(H13:H21)</f>
        <v>63456</v>
      </c>
      <c r="I22" s="600">
        <f t="shared" ref="I22:N22" si="1">SUM(I13:I21)</f>
        <v>15689</v>
      </c>
      <c r="J22" s="600">
        <f>SUM(J13:J21)</f>
        <v>78</v>
      </c>
      <c r="K22" s="600">
        <f t="shared" si="1"/>
        <v>0</v>
      </c>
      <c r="L22" s="600">
        <f t="shared" si="1"/>
        <v>0</v>
      </c>
      <c r="M22" s="600">
        <f t="shared" si="1"/>
        <v>0</v>
      </c>
      <c r="N22" s="600">
        <f t="shared" si="1"/>
        <v>79223</v>
      </c>
      <c r="O22" s="207"/>
      <c r="P22" s="209">
        <v>12</v>
      </c>
    </row>
    <row r="23" spans="1:16" ht="12" customHeight="1" x14ac:dyDescent="0.2">
      <c r="A23" s="88" t="s">
        <v>216</v>
      </c>
      <c r="E23" s="193"/>
      <c r="F23" s="197"/>
      <c r="G23" s="763"/>
      <c r="H23" s="82"/>
      <c r="I23" s="82"/>
      <c r="J23" s="82"/>
      <c r="K23" s="82"/>
      <c r="L23" s="82"/>
      <c r="M23" s="82"/>
      <c r="N23" s="82"/>
      <c r="O23" s="199"/>
      <c r="P23" s="151"/>
    </row>
    <row r="24" spans="1:16" ht="12" customHeight="1" x14ac:dyDescent="0.2">
      <c r="A24" s="88"/>
      <c r="B24" t="s">
        <v>207</v>
      </c>
      <c r="E24" s="193"/>
      <c r="F24" s="200"/>
      <c r="G24" s="764"/>
      <c r="H24" s="600"/>
      <c r="I24" s="664"/>
      <c r="J24" s="664"/>
      <c r="K24" s="664"/>
      <c r="L24" s="664"/>
      <c r="M24" s="664"/>
      <c r="N24" s="201"/>
      <c r="O24" s="202"/>
      <c r="P24" s="151"/>
    </row>
    <row r="25" spans="1:16" ht="12" customHeight="1" x14ac:dyDescent="0.2">
      <c r="A25" s="88"/>
      <c r="C25" t="s">
        <v>217</v>
      </c>
      <c r="E25" s="193">
        <v>13</v>
      </c>
      <c r="F25" s="203"/>
      <c r="G25" s="765"/>
      <c r="H25" s="664">
        <f>SUMIFS('Accounting data'!$G$2:$G$37000,'Accounting data'!$H$2:$H$37000,"1071*",'Accounting data'!$I$2:$I$37000,"43*",'Accounting data'!$J$2:$J$37000,"27*",'Accounting data'!$K$2:$K$37000,"61*")</f>
        <v>0</v>
      </c>
      <c r="I25" s="664">
        <f>SUMIFS('Accounting data'!$G$2:$G$37000,'Accounting data'!$H$2:$H$37000,"1071*",'Accounting data'!$I$2:$I$37000,"43*",'Accounting data'!$J$2:$J$37000,"27*",'Accounting data'!$K$2:$K$37000,"62*")</f>
        <v>0</v>
      </c>
      <c r="J25" s="664">
        <f>SUMIFS('Accounting data'!$G$2:$G$37000,'Accounting data'!$H$2:$H$37000,"1071*",'Accounting data'!$I$2:$I$37000,"43*",'Accounting data'!$J$2:$J$37000,"27*",'Accounting data'!$K$2:$K$37000,"63*")</f>
        <v>0</v>
      </c>
      <c r="K25" s="664">
        <f>SUMIFS('Accounting data'!$G$2:$G$37000,'Accounting data'!$H$2:$H$37000,"1071*",'Accounting data'!$I$2:$I$37000,"43*",'Accounting data'!$J$2:$J$37000,"27*",'Accounting data'!$K$2:$K$37000,"66*")</f>
        <v>0</v>
      </c>
      <c r="L25" s="664">
        <f>SUMIFS('Accounting data'!$G$2:$G$37000,'Accounting data'!$H$2:$H$37000,"1071*",'Accounting data'!$I$2:$I$37000,"43*",'Accounting data'!$J$2:$J$37000,"27*",'Accounting data'!$K$2:$K$37000,"68*")</f>
        <v>0</v>
      </c>
      <c r="M25" s="664">
        <f>[3]!SEIP1071P430F2700</f>
        <v>0</v>
      </c>
      <c r="N25" s="605">
        <f>SUM(H25:L25)</f>
        <v>0</v>
      </c>
      <c r="O25" s="204"/>
      <c r="P25" s="209">
        <v>13</v>
      </c>
    </row>
    <row r="26" spans="1:16" ht="12" customHeight="1" x14ac:dyDescent="0.2">
      <c r="A26" s="98" t="s">
        <v>218</v>
      </c>
      <c r="B26" s="99"/>
      <c r="C26" s="99"/>
      <c r="D26" s="99"/>
      <c r="E26" s="210">
        <v>14</v>
      </c>
      <c r="F26" s="598">
        <f>[4]!SEIP1071EndBal</f>
        <v>0</v>
      </c>
      <c r="G26" s="600">
        <f>G10</f>
        <v>0</v>
      </c>
      <c r="H26" s="600">
        <f>SUM(H22:H24)</f>
        <v>63456</v>
      </c>
      <c r="I26" s="600">
        <f>SUM(I22:I24)</f>
        <v>15689</v>
      </c>
      <c r="J26" s="600">
        <f>SUM(J22:J24)</f>
        <v>78</v>
      </c>
      <c r="K26" s="600">
        <f>SUM(K22:K24)</f>
        <v>0</v>
      </c>
      <c r="L26" s="600">
        <f>SUM(L22:L24)</f>
        <v>0</v>
      </c>
      <c r="M26" s="600">
        <f>SUM(M22:M25)</f>
        <v>0</v>
      </c>
      <c r="N26" s="600">
        <f>SUM(N22:N25)</f>
        <v>79223</v>
      </c>
      <c r="O26" s="600">
        <f>F26+G26-N26</f>
        <v>-79223</v>
      </c>
      <c r="P26" s="209">
        <v>14</v>
      </c>
    </row>
    <row r="27" spans="1:16" ht="9" customHeight="1" x14ac:dyDescent="0.2">
      <c r="A27" s="754"/>
      <c r="B27" s="754"/>
      <c r="C27" s="754"/>
      <c r="D27" s="754"/>
      <c r="E27" s="754"/>
      <c r="F27" s="754"/>
      <c r="G27" s="754"/>
      <c r="H27" s="754"/>
      <c r="I27" s="754"/>
      <c r="J27" s="755"/>
      <c r="K27" s="755"/>
      <c r="L27" s="755"/>
    </row>
    <row r="28" spans="1:16" ht="11.25" customHeight="1" x14ac:dyDescent="0.2">
      <c r="A28" s="86" t="s">
        <v>219</v>
      </c>
      <c r="B28" s="71"/>
      <c r="C28" s="71"/>
      <c r="D28" s="71"/>
      <c r="E28" s="211"/>
      <c r="F28" s="758"/>
      <c r="G28" s="758"/>
      <c r="H28" s="758"/>
      <c r="I28" s="758"/>
      <c r="J28" s="758"/>
      <c r="K28" s="758"/>
      <c r="L28" s="766"/>
      <c r="M28" s="766"/>
      <c r="N28" s="766"/>
      <c r="O28" s="758"/>
    </row>
    <row r="29" spans="1:16" ht="11.25" customHeight="1" x14ac:dyDescent="0.2">
      <c r="A29" s="116" t="s">
        <v>168</v>
      </c>
      <c r="E29" s="193"/>
      <c r="F29" s="759"/>
      <c r="G29" s="769"/>
      <c r="H29" s="769"/>
      <c r="I29" s="769"/>
      <c r="J29" s="769"/>
      <c r="K29" s="769"/>
      <c r="L29" s="766"/>
      <c r="M29" s="766"/>
      <c r="N29" s="766"/>
      <c r="O29" s="759"/>
    </row>
    <row r="30" spans="1:16" ht="12" customHeight="1" x14ac:dyDescent="0.2">
      <c r="A30" s="116"/>
      <c r="B30" t="s">
        <v>202</v>
      </c>
      <c r="E30" s="193">
        <v>15</v>
      </c>
      <c r="F30" s="194"/>
      <c r="G30" s="600">
        <f>-(SUMIFS('Accounting data'!$G$2:$G$37000,'Accounting data'!$H$2:$H$37000,"1072*",'Accounting data'!$K$2:$K$37000,"32*"))</f>
        <v>0</v>
      </c>
      <c r="H30" s="194"/>
      <c r="I30" s="194"/>
      <c r="J30" s="194"/>
      <c r="K30" s="194"/>
      <c r="L30" s="212"/>
      <c r="M30" s="194"/>
      <c r="N30" s="194"/>
      <c r="O30" s="194"/>
      <c r="P30" s="209">
        <v>15</v>
      </c>
    </row>
    <row r="31" spans="1:16" ht="12" customHeight="1" x14ac:dyDescent="0.2">
      <c r="A31" s="116"/>
      <c r="B31" t="s">
        <v>203</v>
      </c>
      <c r="E31" s="193">
        <v>16</v>
      </c>
      <c r="F31" s="194"/>
      <c r="G31" s="600">
        <f>-(SUMIFS('Accounting data'!$G$2:$G$37000,'Accounting data'!$H$2:$H$37000,"1072*",'Accounting data'!$K$2:$K$37000,"15*"))</f>
        <v>0</v>
      </c>
      <c r="H31" s="194"/>
      <c r="I31" s="194"/>
      <c r="J31" s="194"/>
      <c r="K31" s="194"/>
      <c r="L31" s="194"/>
      <c r="M31" s="194"/>
      <c r="N31" s="194"/>
      <c r="O31" s="194"/>
      <c r="P31" s="209">
        <v>16</v>
      </c>
    </row>
    <row r="32" spans="1:16" ht="12" customHeight="1" x14ac:dyDescent="0.2">
      <c r="A32" s="88" t="s">
        <v>220</v>
      </c>
      <c r="E32" s="193">
        <v>17</v>
      </c>
      <c r="F32" s="195"/>
      <c r="G32" s="600">
        <f>SUM(G30:G31)</f>
        <v>0</v>
      </c>
      <c r="H32" s="195"/>
      <c r="I32" s="195"/>
      <c r="J32" s="195"/>
      <c r="K32" s="195"/>
      <c r="L32" s="195"/>
      <c r="M32" s="195"/>
      <c r="N32" s="195"/>
      <c r="O32" s="195"/>
      <c r="P32" s="209">
        <v>17</v>
      </c>
    </row>
    <row r="33" spans="1:16" ht="11.25" customHeight="1" x14ac:dyDescent="0.2">
      <c r="A33" s="116" t="s">
        <v>92</v>
      </c>
      <c r="E33" s="196"/>
      <c r="F33" s="197"/>
      <c r="G33" s="213"/>
      <c r="H33" s="148"/>
      <c r="I33" s="148"/>
      <c r="J33" s="148"/>
      <c r="K33" s="148"/>
      <c r="L33" s="148"/>
      <c r="M33" s="148"/>
      <c r="N33" s="148"/>
      <c r="O33" s="197"/>
    </row>
    <row r="34" spans="1:16" ht="12" customHeight="1" x14ac:dyDescent="0.2">
      <c r="A34" s="88" t="s">
        <v>221</v>
      </c>
      <c r="E34" s="196"/>
      <c r="F34" s="200"/>
      <c r="G34" s="214"/>
      <c r="H34" s="201"/>
      <c r="I34" s="201"/>
      <c r="J34" s="201"/>
      <c r="K34" s="201"/>
      <c r="L34" s="201"/>
      <c r="M34" s="201"/>
      <c r="N34" s="201"/>
      <c r="O34" s="200"/>
    </row>
    <row r="35" spans="1:16" ht="12" customHeight="1" x14ac:dyDescent="0.2">
      <c r="A35" s="88"/>
      <c r="B35" t="s">
        <v>206</v>
      </c>
      <c r="E35" s="196">
        <v>18</v>
      </c>
      <c r="F35" s="203"/>
      <c r="G35" s="215"/>
      <c r="H35" s="605">
        <f>SUMIFS('Accounting data'!$G$2:$G$37000,'Accounting data'!$H$2:$H$37000,"1072*",'Accounting data'!$I$2:$I$37000,"265*",'Accounting data'!$J$2:$J$37000,"1*",'Accounting data'!$K$2:$K$37000,"61*")</f>
        <v>0</v>
      </c>
      <c r="I35" s="605">
        <f>SUMIFS('Accounting data'!$G$2:$G$37000,'Accounting data'!$H$2:$H$37000,"1072*",'Accounting data'!$I$2:$I$37000,"265*",'Accounting data'!$J$2:$J$37000,"1*",'Accounting data'!$K$2:$K$37000,"62*")</f>
        <v>0</v>
      </c>
      <c r="J35" s="605">
        <f>SUMIFS('Accounting data'!$G$2:$G$37000,'Accounting data'!$H$2:$H$37000,"1072*",'Accounting data'!$I$2:$I$37000,"265*",'Accounting data'!$J$2:$J$37000,"1*",'Accounting data'!$K$2:$K$37000,"63*")</f>
        <v>0</v>
      </c>
      <c r="K35" s="605">
        <f>SUMIFS('Accounting data'!$G$2:$G$37000,'Accounting data'!$H$2:$H$37000,"1072*",'Accounting data'!$I$2:$I$37000,"265*",'Accounting data'!$J$2:$J$37000,"1*",'Accounting data'!$K$2:$K$37000,"66*")</f>
        <v>0</v>
      </c>
      <c r="L35" s="605">
        <f>SUMIFS('Accounting data'!$G$2:$G$37000,'Accounting data'!$H$2:$H$37000,"1072*",'Accounting data'!$I$2:$I$37000,"265*",'Accounting data'!$J$2:$J$37000,"1*",'Accounting data'!$K$2:$K$37000,"68*")</f>
        <v>0</v>
      </c>
      <c r="M35" s="605">
        <f>[3]!CIP1072P265F1000</f>
        <v>0</v>
      </c>
      <c r="N35" s="605">
        <f>SUM(H35:L35)</f>
        <v>0</v>
      </c>
      <c r="O35" s="203"/>
      <c r="P35" s="209">
        <v>18</v>
      </c>
    </row>
    <row r="36" spans="1:16" ht="12" customHeight="1" x14ac:dyDescent="0.2">
      <c r="A36" s="88"/>
      <c r="B36" t="s">
        <v>207</v>
      </c>
      <c r="E36" s="193"/>
      <c r="F36" s="197"/>
      <c r="G36" s="764"/>
      <c r="H36" s="198"/>
      <c r="I36" s="198"/>
      <c r="J36" s="198"/>
      <c r="K36" s="198"/>
      <c r="L36" s="198"/>
      <c r="M36" s="198"/>
      <c r="N36" s="198"/>
      <c r="O36" s="197"/>
      <c r="P36" s="209"/>
    </row>
    <row r="37" spans="1:16" ht="12" customHeight="1" x14ac:dyDescent="0.2">
      <c r="A37" s="88"/>
      <c r="C37" t="s">
        <v>208</v>
      </c>
      <c r="E37" s="193">
        <v>19</v>
      </c>
      <c r="F37" s="203"/>
      <c r="G37" s="764"/>
      <c r="H37" s="605">
        <f>SUMIFS('Accounting data'!$G$2:$G$37000,'Accounting data'!$H$2:$H$37000,"1072*",'Accounting data'!$I$2:$I$37000,"265*",'Accounting data'!$J$2:$J$37000,"21*",'Accounting data'!$K$2:$K$37000,"61*")</f>
        <v>0</v>
      </c>
      <c r="I37" s="605">
        <f>SUMIFS('Accounting data'!$G$2:$G$37000,'Accounting data'!$H$2:$H$37000,"1072*",'Accounting data'!$I$2:$I$37000,"265*",'Accounting data'!$J$2:$J$37000,"21*",'Accounting data'!$K$2:$K$37000,"62*")</f>
        <v>0</v>
      </c>
      <c r="J37" s="605">
        <f>SUMIFS('Accounting data'!$G$2:$G$37000,'Accounting data'!$H$2:$H$37000,"1072*",'Accounting data'!$I$2:$I$37000,"265*",'Accounting data'!$J$2:$J$37000,"21*",'Accounting data'!$K$2:$K$37000,"63*")</f>
        <v>0</v>
      </c>
      <c r="K37" s="605">
        <f>SUMIFS('Accounting data'!$G$2:$G$37000,'Accounting data'!$H$2:$H$37000,"1072*",'Accounting data'!$I$2:$I$37000,"265*",'Accounting data'!$J$2:$J$37000,"21*",'Accounting data'!$K$2:$K$37000,"66*")</f>
        <v>0</v>
      </c>
      <c r="L37" s="605">
        <f>SUMIFS('Accounting data'!$G$2:$G$37000,'Accounting data'!$H$2:$H$37000,"1072*",'Accounting data'!$I$2:$I$37000,"265*",'Accounting data'!$J$2:$J$37000,"21*",'Accounting data'!$K$2:$K$37000,"68*")</f>
        <v>0</v>
      </c>
      <c r="M37" s="605">
        <f>[3]!CIP1072P265F2100</f>
        <v>0</v>
      </c>
      <c r="N37" s="605">
        <f>SUM(H37:L37)</f>
        <v>0</v>
      </c>
      <c r="O37" s="203"/>
      <c r="P37" s="209">
        <v>19</v>
      </c>
    </row>
    <row r="38" spans="1:16" ht="12" customHeight="1" x14ac:dyDescent="0.2">
      <c r="A38" s="88"/>
      <c r="C38" t="s">
        <v>209</v>
      </c>
      <c r="E38" s="193">
        <v>20</v>
      </c>
      <c r="F38" s="205"/>
      <c r="G38" s="206"/>
      <c r="H38" s="600">
        <f>SUMIFS('Accounting data'!$G$2:$G$37000,'Accounting data'!$H$2:$H$37000,"1072*",'Accounting data'!$I$2:$I$37000,"265*",'Accounting data'!$J$2:$J$37000,"22*",'Accounting data'!$K$2:$K$37000,"61*")</f>
        <v>0</v>
      </c>
      <c r="I38" s="600">
        <f>SUMIFS('Accounting data'!$G$2:$G$37000,'Accounting data'!$H$2:$H$37000,"1072*",'Accounting data'!$I$2:$I$37000,"265*",'Accounting data'!$J$2:$J$37000,"22*",'Accounting data'!$K$2:$K$37000,"62*")</f>
        <v>0</v>
      </c>
      <c r="J38" s="600">
        <f>SUMIFS('Accounting data'!$G$2:$G$37000,'Accounting data'!$H$2:$H$37000,"1072*",'Accounting data'!$I$2:$I$37000,"265*",'Accounting data'!$J$2:$J$37000,"22*",'Accounting data'!$K$2:$K$37000,"63*")</f>
        <v>0</v>
      </c>
      <c r="K38" s="600">
        <f>SUMIFS('Accounting data'!$G$2:$G$37000,'Accounting data'!$H$2:$H$37000,"1072*",'Accounting data'!$I$2:$I$37000,"265*",'Accounting data'!$J$2:$J$37000,"22*",'Accounting data'!$K$2:$K$37000,"66*")</f>
        <v>0</v>
      </c>
      <c r="L38" s="600">
        <f>SUMIFS('Accounting data'!$G$2:$G$37000,'Accounting data'!$H$2:$H$37000,"1072*",'Accounting data'!$I$2:$I$37000,"265*",'Accounting data'!$J$2:$J$37000,"22*",'Accounting data'!$K$2:$K$37000,"68*")</f>
        <v>0</v>
      </c>
      <c r="M38" s="598">
        <f>[3]!CIP1072P265F2200</f>
        <v>0</v>
      </c>
      <c r="N38" s="600">
        <f t="shared" ref="N38:N43" si="2">SUM(H38:L38)</f>
        <v>0</v>
      </c>
      <c r="O38" s="205"/>
      <c r="P38" s="209">
        <v>20</v>
      </c>
    </row>
    <row r="39" spans="1:16" ht="12" customHeight="1" x14ac:dyDescent="0.2">
      <c r="A39" s="88"/>
      <c r="C39" t="s">
        <v>210</v>
      </c>
      <c r="E39" s="193">
        <v>21</v>
      </c>
      <c r="F39" s="205"/>
      <c r="G39" s="206"/>
      <c r="H39" s="600">
        <f>SUMIFS('Accounting data'!$G$2:$G$37000,'Accounting data'!$H$2:$H$37000,"1072*",'Accounting data'!$I$2:$I$37000,"265*",'Accounting data'!$J$2:$J$37000,"23*",'Accounting data'!$K$2:$K$37000,"61*")</f>
        <v>0</v>
      </c>
      <c r="I39" s="600">
        <f>SUMIFS('Accounting data'!$G$2:$G$37000,'Accounting data'!$H$2:$H$37000,"1072*",'Accounting data'!$I$2:$I$37000,"265*",'Accounting data'!$J$2:$J$37000,"23*",'Accounting data'!$K$2:$K$37000,"62*")</f>
        <v>0</v>
      </c>
      <c r="J39" s="600">
        <f>SUMIFS('Accounting data'!$G$2:$G$37000,'Accounting data'!$H$2:$H$37000,"1072*",'Accounting data'!$I$2:$I$37000,"265*",'Accounting data'!$J$2:$J$37000,"23*",'Accounting data'!$K$2:$K$37000,"63*")</f>
        <v>0</v>
      </c>
      <c r="K39" s="600">
        <f>SUMIFS('Accounting data'!$G$2:$G$37000,'Accounting data'!$H$2:$H$37000,"1072*",'Accounting data'!$I$2:$I$37000,"265*",'Accounting data'!$J$2:$J$37000,"23*",'Accounting data'!$K$2:$K$37000,"66*")</f>
        <v>0</v>
      </c>
      <c r="L39" s="600">
        <f>SUMIFS('Accounting data'!$G$2:$G$37000,'Accounting data'!$H$2:$H$37000,"1072*",'Accounting data'!$I$2:$I$37000,"265*",'Accounting data'!$J$2:$J$37000,"23*",'Accounting data'!$K$2:$K$37000,"68*")</f>
        <v>0</v>
      </c>
      <c r="M39" s="598">
        <f>[3]!CIP1072P265F2300</f>
        <v>0</v>
      </c>
      <c r="N39" s="600">
        <f t="shared" si="2"/>
        <v>0</v>
      </c>
      <c r="O39" s="205"/>
      <c r="P39" s="209">
        <v>21</v>
      </c>
    </row>
    <row r="40" spans="1:16" ht="12" customHeight="1" x14ac:dyDescent="0.2">
      <c r="A40" s="88"/>
      <c r="C40" t="s">
        <v>211</v>
      </c>
      <c r="E40" s="193">
        <v>22</v>
      </c>
      <c r="F40" s="205"/>
      <c r="G40" s="206"/>
      <c r="H40" s="600">
        <f>SUMIFS('Accounting data'!$G$2:$G$37000,'Accounting data'!$H$2:$H$37000,"1072*",'Accounting data'!$I$2:$I$37000,"265*",'Accounting data'!$J$2:$J$37000,"24*",'Accounting data'!$K$2:$K$37000,"61*")</f>
        <v>0</v>
      </c>
      <c r="I40" s="600">
        <f>SUMIFS('Accounting data'!$G$2:$G$37000,'Accounting data'!$H$2:$H$37000,"1072*",'Accounting data'!$I$2:$I$37000,"265*",'Accounting data'!$J$2:$J$37000,"24*",'Accounting data'!$K$2:$K$37000,"62*")</f>
        <v>0</v>
      </c>
      <c r="J40" s="600">
        <f>SUMIFS('Accounting data'!$G$2:$G$37000,'Accounting data'!$H$2:$H$37000,"1072*",'Accounting data'!$I$2:$I$37000,"265*",'Accounting data'!$J$2:$J$37000,"24*",'Accounting data'!$K$2:$K$37000,"63*")</f>
        <v>0</v>
      </c>
      <c r="K40" s="600">
        <f>SUMIFS('Accounting data'!$G$2:$G$37000,'Accounting data'!$H$2:$H$37000,"1072*",'Accounting data'!$I$2:$I$37000,"265*",'Accounting data'!$J$2:$J$37000,"24*",'Accounting data'!$K$2:$K$37000,"66*")</f>
        <v>0</v>
      </c>
      <c r="L40" s="600">
        <f>SUMIFS('Accounting data'!$G$2:$G$37000,'Accounting data'!$H$2:$H$37000,"1072*",'Accounting data'!$I$2:$I$37000,"265*",'Accounting data'!$J$2:$J$37000,"24*",'Accounting data'!$K$2:$K$37000,"68*")</f>
        <v>0</v>
      </c>
      <c r="M40" s="598">
        <f>[3]!CIP1072P265F2400</f>
        <v>0</v>
      </c>
      <c r="N40" s="600">
        <f t="shared" si="2"/>
        <v>0</v>
      </c>
      <c r="O40" s="205"/>
      <c r="P40" s="209">
        <v>22</v>
      </c>
    </row>
    <row r="41" spans="1:16" ht="12" customHeight="1" x14ac:dyDescent="0.2">
      <c r="A41" s="88"/>
      <c r="C41" t="s">
        <v>212</v>
      </c>
      <c r="E41" s="193">
        <v>23</v>
      </c>
      <c r="F41" s="205"/>
      <c r="G41" s="206"/>
      <c r="H41" s="600">
        <f>SUMIFS('Accounting data'!$G$2:$G$37000,'Accounting data'!$H$2:$H$37000,"1072*",'Accounting data'!$I$2:$I$37000,"265*",'Accounting data'!$J$2:$J$37000,"25*",'Accounting data'!$K$2:$K$37000,"61*")</f>
        <v>0</v>
      </c>
      <c r="I41" s="600">
        <f>SUMIFS('Accounting data'!$G$2:$G$37000,'Accounting data'!$H$2:$H$37000,"1072*",'Accounting data'!$I$2:$I$37000,"265*",'Accounting data'!$J$2:$J$37000,"25*",'Accounting data'!$K$2:$K$37000,"62*")</f>
        <v>0</v>
      </c>
      <c r="J41" s="600">
        <f>SUMIFS('Accounting data'!$G$2:$G$37000,'Accounting data'!$H$2:$H$37000,"1072*",'Accounting data'!$I$2:$I$37000,"265*",'Accounting data'!$J$2:$J$37000,"25*",'Accounting data'!$K$2:$K$37000,"63*")</f>
        <v>0</v>
      </c>
      <c r="K41" s="600">
        <f>SUMIFS('Accounting data'!$G$2:$G$37000,'Accounting data'!$H$2:$H$37000,"1072*",'Accounting data'!$I$2:$I$37000,"265*",'Accounting data'!$J$2:$J$37000,"25*",'Accounting data'!$K$2:$K$37000,"66*")</f>
        <v>0</v>
      </c>
      <c r="L41" s="600">
        <f>SUMIFS('Accounting data'!$G$2:$G$37000,'Accounting data'!$H$2:$H$37000,"1072*",'Accounting data'!$I$2:$I$37000,"265*",'Accounting data'!$J$2:$J$37000,"25*",'Accounting data'!$K$2:$K$37000,"68*")</f>
        <v>0</v>
      </c>
      <c r="M41" s="598">
        <f>[3]!CIP1072P265F2500</f>
        <v>0</v>
      </c>
      <c r="N41" s="600">
        <f t="shared" si="2"/>
        <v>0</v>
      </c>
      <c r="O41" s="205"/>
      <c r="P41" s="209">
        <v>23</v>
      </c>
    </row>
    <row r="42" spans="1:16" ht="12" customHeight="1" x14ac:dyDescent="0.2">
      <c r="A42" s="88"/>
      <c r="C42" t="s">
        <v>213</v>
      </c>
      <c r="E42" s="193">
        <v>24</v>
      </c>
      <c r="F42" s="205"/>
      <c r="G42" s="206"/>
      <c r="H42" s="600">
        <f>SUMIFS('Accounting data'!$G$2:$G$37000,'Accounting data'!$H$2:$H$37000,"1072*",'Accounting data'!$I$2:$I$37000,"265*",'Accounting data'!$J$2:$J$37000,"26*",'Accounting data'!$K$2:$K$37000,"61*")</f>
        <v>0</v>
      </c>
      <c r="I42" s="600">
        <f>SUMIFS('Accounting data'!$G$2:$G$37000,'Accounting data'!$H$2:$H$37000,"1072*",'Accounting data'!$I$2:$I$37000,"265*",'Accounting data'!$J$2:$J$37000,"26*",'Accounting data'!$K$2:$K$37000,"62*")</f>
        <v>0</v>
      </c>
      <c r="J42" s="600">
        <f>SUMIFS('Accounting data'!$G$2:$G$37000,'Accounting data'!$H$2:$H$37000,"1072*",'Accounting data'!$I$2:$I$37000,"265*",'Accounting data'!$J$2:$J$37000,"26*",'Accounting data'!$K$2:$K$37000,"63*")</f>
        <v>0</v>
      </c>
      <c r="K42" s="600">
        <f>SUMIFS('Accounting data'!$G$2:$G$37000,'Accounting data'!$H$2:$H$37000,"1072*",'Accounting data'!$I$2:$I$37000,"265*",'Accounting data'!$J$2:$J$37000,"26*",'Accounting data'!$K$2:$K$37000,"66*")</f>
        <v>0</v>
      </c>
      <c r="L42" s="600">
        <f>SUMIFS('Accounting data'!$G$2:$G$37000,'Accounting data'!$H$2:$H$37000,"1072*",'Accounting data'!$I$2:$I$37000,"265*",'Accounting data'!$J$2:$J$37000,"26*",'Accounting data'!$K$2:$K$37000,"68*")</f>
        <v>0</v>
      </c>
      <c r="M42" s="598">
        <f>[3]!CIP1072P265F2600</f>
        <v>0</v>
      </c>
      <c r="N42" s="600">
        <f t="shared" si="2"/>
        <v>0</v>
      </c>
      <c r="O42" s="205"/>
      <c r="P42" s="209">
        <v>24</v>
      </c>
    </row>
    <row r="43" spans="1:16" ht="12" customHeight="1" x14ac:dyDescent="0.2">
      <c r="A43" s="88"/>
      <c r="C43" t="s">
        <v>214</v>
      </c>
      <c r="E43" s="193">
        <v>25</v>
      </c>
      <c r="F43" s="205"/>
      <c r="G43" s="206"/>
      <c r="H43" s="600">
        <f>SUMIFS('Accounting data'!$G$2:$G$37000,'Accounting data'!$H$2:$H$37000,"1072*",'Accounting data'!$I$2:$I$37000,"265*",'Accounting data'!$J$2:$J$37000,"29*",'Accounting data'!$K$2:$K$37000,"61*")</f>
        <v>0</v>
      </c>
      <c r="I43" s="600">
        <f>SUMIFS('Accounting data'!$G$2:$G$37000,'Accounting data'!$H$2:$H$37000,"1072*",'Accounting data'!$I$2:$I$37000,"265*",'Accounting data'!$J$2:$J$37000,"29*",'Accounting data'!$K$2:$K$37000,"62*")</f>
        <v>0</v>
      </c>
      <c r="J43" s="600">
        <f>SUMIFS('Accounting data'!$G$2:$G$37000,'Accounting data'!$H$2:$H$37000,"1072*",'Accounting data'!$I$2:$I$37000,"265*",'Accounting data'!$J$2:$J$37000,"29*",'Accounting data'!$K$2:$K$37000,"63*")</f>
        <v>0</v>
      </c>
      <c r="K43" s="600">
        <f>SUMIFS('Accounting data'!$G$2:$G$37000,'Accounting data'!$H$2:$H$37000,"1072*",'Accounting data'!$I$2:$I$37000,"265*",'Accounting data'!$J$2:$J$37000,"29*",'Accounting data'!$K$2:$K$37000,"66*")</f>
        <v>0</v>
      </c>
      <c r="L43" s="600">
        <f>SUMIFS('Accounting data'!$G$2:$G$37000,'Accounting data'!$H$2:$H$37000,"1072*",'Accounting data'!$I$2:$I$37000,"265*",'Accounting data'!$J$2:$J$37000,"29*",'Accounting data'!$K$2:$K$37000,"68*")</f>
        <v>0</v>
      </c>
      <c r="M43" s="598">
        <f>[3]!CIP1072P265F2900</f>
        <v>0</v>
      </c>
      <c r="N43" s="600">
        <f t="shared" si="2"/>
        <v>0</v>
      </c>
      <c r="O43" s="205"/>
      <c r="P43" s="209">
        <v>25</v>
      </c>
    </row>
    <row r="44" spans="1:16" ht="12" customHeight="1" x14ac:dyDescent="0.2">
      <c r="A44" s="92"/>
      <c r="B44" s="2" t="s">
        <v>222</v>
      </c>
      <c r="C44" s="2"/>
      <c r="D44" s="2"/>
      <c r="E44" s="189">
        <v>26</v>
      </c>
      <c r="F44" s="205"/>
      <c r="G44" s="206"/>
      <c r="H44" s="216">
        <f>SUM(H35:H43)</f>
        <v>0</v>
      </c>
      <c r="I44" s="216">
        <f t="shared" ref="I44:L44" si="3">SUM(I35:I43)</f>
        <v>0</v>
      </c>
      <c r="J44" s="216">
        <f>SUM(J35:J43)</f>
        <v>0</v>
      </c>
      <c r="K44" s="216">
        <f>SUM(K35:K43)</f>
        <v>0</v>
      </c>
      <c r="L44" s="216">
        <f t="shared" si="3"/>
        <v>0</v>
      </c>
      <c r="M44" s="216">
        <f>SUM(M35:M43)</f>
        <v>0</v>
      </c>
      <c r="N44" s="216">
        <f>SUM(N35:N43)</f>
        <v>0</v>
      </c>
      <c r="O44" s="205"/>
      <c r="P44" s="209">
        <v>26</v>
      </c>
    </row>
    <row r="45" spans="1:16" ht="12" customHeight="1" x14ac:dyDescent="0.2">
      <c r="A45" s="88" t="s">
        <v>223</v>
      </c>
      <c r="E45" s="193"/>
      <c r="F45" s="197"/>
      <c r="G45" s="763"/>
      <c r="H45" s="148"/>
      <c r="I45" s="148"/>
      <c r="J45" s="148"/>
      <c r="K45" s="148"/>
      <c r="L45" s="148"/>
      <c r="M45" s="148"/>
      <c r="N45" s="148"/>
      <c r="O45" s="197"/>
      <c r="P45" s="209"/>
    </row>
    <row r="46" spans="1:16" ht="12" customHeight="1" x14ac:dyDescent="0.2">
      <c r="A46" s="88"/>
      <c r="B46" t="s">
        <v>207</v>
      </c>
      <c r="E46" s="193"/>
      <c r="F46" s="200"/>
      <c r="G46" s="764"/>
      <c r="H46" s="201"/>
      <c r="I46" s="201"/>
      <c r="J46" s="201"/>
      <c r="K46" s="201"/>
      <c r="L46" s="201"/>
      <c r="M46" s="201"/>
      <c r="N46" s="201"/>
      <c r="O46" s="200"/>
      <c r="P46" s="209"/>
    </row>
    <row r="47" spans="1:16" ht="12" customHeight="1" x14ac:dyDescent="0.2">
      <c r="A47" s="88"/>
      <c r="C47" t="s">
        <v>217</v>
      </c>
      <c r="E47" s="193">
        <v>27</v>
      </c>
      <c r="F47" s="200"/>
      <c r="G47" s="764"/>
      <c r="H47" s="605">
        <f>SUMIFS('Accounting data'!$G$2:$G$37000,'Accounting data'!$H$2:$H$37000,"1072*",'Accounting data'!$I$2:$I$37000,"435*",'Accounting data'!$J$2:$J$37000,"27*",'Accounting data'!$K$2:$K$37000,"61*")</f>
        <v>0</v>
      </c>
      <c r="I47" s="605">
        <f>SUMIFS('Accounting data'!$G$2:$G$37000,'Accounting data'!$H$2:$H$37000,"1072*",'Accounting data'!$I$2:$I$37000,"435*",'Accounting data'!$J$2:$J$37000,"27*",'Accounting data'!$K$2:$K$37000,"62*")</f>
        <v>0</v>
      </c>
      <c r="J47" s="605">
        <f>SUMIFS('Accounting data'!$G$2:$G$37000,'Accounting data'!$H$2:$H$37000,"1072*",'Accounting data'!$I$2:$I$37000,"435*",'Accounting data'!$J$2:$J$37000,"27*",'Accounting data'!$K$2:$K$37000,"63*")</f>
        <v>0</v>
      </c>
      <c r="K47" s="605">
        <f>SUMIFS('Accounting data'!$G$2:$G$37000,'Accounting data'!$H$2:$H$37000,"1072*",'Accounting data'!$I$2:$I$37000,"435*",'Accounting data'!$J$2:$J$37000,"27*",'Accounting data'!$K$2:$K$37000,"66*")</f>
        <v>0</v>
      </c>
      <c r="L47" s="605">
        <f>SUMIFS('Accounting data'!$G$2:$G$37000,'Accounting data'!$H$2:$H$37000,"1072*",'Accounting data'!$I$2:$I$37000,"435*",'Accounting data'!$J$2:$J$37000,"27*",'Accounting data'!$K$2:$K$37000,"68*")</f>
        <v>0</v>
      </c>
      <c r="M47" s="605">
        <f>[3]!CIP1072P435F2700</f>
        <v>0</v>
      </c>
      <c r="N47" s="605">
        <f>SUM(H47:L47)</f>
        <v>0</v>
      </c>
      <c r="O47" s="200"/>
      <c r="P47" s="209">
        <v>27</v>
      </c>
    </row>
    <row r="48" spans="1:16" ht="12" customHeight="1" x14ac:dyDescent="0.2">
      <c r="A48" s="98" t="s">
        <v>224</v>
      </c>
      <c r="B48" s="99"/>
      <c r="C48" s="99"/>
      <c r="D48" s="99"/>
      <c r="E48" s="210">
        <v>28</v>
      </c>
      <c r="F48" s="598">
        <f>[4]!CIP1072EndBal</f>
        <v>0</v>
      </c>
      <c r="G48" s="600">
        <f>G32</f>
        <v>0</v>
      </c>
      <c r="H48" s="605">
        <f t="shared" ref="H48:L48" si="4">SUM(H44:H47)</f>
        <v>0</v>
      </c>
      <c r="I48" s="605">
        <f t="shared" si="4"/>
        <v>0</v>
      </c>
      <c r="J48" s="605">
        <f t="shared" si="4"/>
        <v>0</v>
      </c>
      <c r="K48" s="605">
        <f t="shared" si="4"/>
        <v>0</v>
      </c>
      <c r="L48" s="605">
        <f t="shared" si="4"/>
        <v>0</v>
      </c>
      <c r="M48" s="600">
        <f>SUM(M44:M47)</f>
        <v>0</v>
      </c>
      <c r="N48" s="600">
        <f>SUM(N44:N47)</f>
        <v>0</v>
      </c>
      <c r="O48" s="600">
        <f>F48+G48-N48</f>
        <v>0</v>
      </c>
      <c r="P48" s="209">
        <v>28</v>
      </c>
    </row>
  </sheetData>
  <sheetProtection formatCells="0" formatColumns="0" formatRows="0"/>
  <mergeCells count="30">
    <mergeCell ref="G45:G47"/>
    <mergeCell ref="M28:M29"/>
    <mergeCell ref="N28:N29"/>
    <mergeCell ref="O28:O29"/>
    <mergeCell ref="N14:N15"/>
    <mergeCell ref="G28:G29"/>
    <mergeCell ref="G36:G37"/>
    <mergeCell ref="H28:H29"/>
    <mergeCell ref="I28:I29"/>
    <mergeCell ref="J28:J29"/>
    <mergeCell ref="K28:K29"/>
    <mergeCell ref="L28:L29"/>
    <mergeCell ref="O6:O7"/>
    <mergeCell ref="G11:G13"/>
    <mergeCell ref="G23:G25"/>
    <mergeCell ref="G14:G15"/>
    <mergeCell ref="G6:G7"/>
    <mergeCell ref="K6:K7"/>
    <mergeCell ref="L6:L7"/>
    <mergeCell ref="F28:F29"/>
    <mergeCell ref="F6:F7"/>
    <mergeCell ref="M3:N3"/>
    <mergeCell ref="M14:M15"/>
    <mergeCell ref="M6:M7"/>
    <mergeCell ref="D1:E1"/>
    <mergeCell ref="J1:K1"/>
    <mergeCell ref="A27:L27"/>
    <mergeCell ref="H6:H7"/>
    <mergeCell ref="I6:I7"/>
    <mergeCell ref="J6:J7"/>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zoomScaleNormal="100" workbookViewId="0">
      <selection activeCell="W32" sqref="W32"/>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7" t="s">
        <v>0</v>
      </c>
      <c r="C1" s="735" t="str">
        <f>'Cover Page'!D1</f>
        <v>ASU Preparatory Academy - Digital</v>
      </c>
      <c r="D1" s="735"/>
      <c r="E1" s="735"/>
      <c r="F1" s="735"/>
      <c r="H1" t="s">
        <v>20</v>
      </c>
      <c r="I1" s="597" t="s">
        <v>1</v>
      </c>
      <c r="L1" s="618" t="str">
        <f>'Cover Page'!M1</f>
        <v>Maricopa</v>
      </c>
      <c r="T1" s="59" t="s">
        <v>2</v>
      </c>
      <c r="U1" s="217" t="str">
        <f>'Cover Page'!R1</f>
        <v>078284000</v>
      </c>
    </row>
    <row r="2" spans="1:50" hidden="1" x14ac:dyDescent="0.2">
      <c r="T2" s="67"/>
      <c r="U2" s="67"/>
    </row>
    <row r="3" spans="1:50" x14ac:dyDescent="0.2">
      <c r="V3" s="156"/>
      <c r="AE3" s="595"/>
      <c r="AF3" s="595"/>
      <c r="AG3" s="595"/>
      <c r="AH3" s="595"/>
      <c r="AI3" s="595"/>
      <c r="AJ3" s="595"/>
      <c r="AK3" s="595"/>
      <c r="AL3" s="595"/>
      <c r="AM3" s="595"/>
      <c r="AN3" s="595"/>
      <c r="AO3" s="595"/>
      <c r="AP3" s="595"/>
      <c r="AQ3" s="595"/>
      <c r="AR3" s="595"/>
      <c r="AS3" s="595"/>
      <c r="AT3" s="595"/>
      <c r="AU3" s="595"/>
      <c r="AV3" s="595"/>
      <c r="AW3" s="595"/>
      <c r="AX3" s="595"/>
    </row>
    <row r="4" spans="1:50" x14ac:dyDescent="0.2">
      <c r="A4" s="218" t="s">
        <v>225</v>
      </c>
      <c r="B4" s="67"/>
      <c r="C4" s="67"/>
      <c r="D4" s="67"/>
      <c r="E4" s="67"/>
      <c r="F4" s="67"/>
      <c r="G4" s="67"/>
      <c r="H4" s="67"/>
      <c r="I4" s="67"/>
      <c r="J4" s="67"/>
      <c r="K4" s="67"/>
      <c r="L4" s="67"/>
      <c r="M4" s="67"/>
      <c r="N4" s="67"/>
      <c r="O4" s="67"/>
      <c r="P4" s="67"/>
      <c r="Q4" s="67"/>
      <c r="R4" s="67"/>
      <c r="S4" s="67"/>
      <c r="T4" s="67"/>
      <c r="U4" s="67"/>
      <c r="AE4" s="595"/>
      <c r="AF4" s="595"/>
      <c r="AG4" s="595"/>
      <c r="AH4" s="595"/>
      <c r="AI4" s="595"/>
      <c r="AJ4" s="595"/>
      <c r="AK4" s="595"/>
      <c r="AL4" s="595"/>
      <c r="AM4" s="595"/>
      <c r="AN4" s="595"/>
      <c r="AO4" s="595"/>
      <c r="AP4" s="595"/>
      <c r="AQ4" s="595"/>
      <c r="AR4" s="595"/>
      <c r="AS4" s="595"/>
      <c r="AT4" s="595"/>
      <c r="AU4" s="595"/>
      <c r="AV4" s="595"/>
      <c r="AW4" s="595"/>
      <c r="AX4" s="595"/>
    </row>
    <row r="5" spans="1:50" x14ac:dyDescent="0.2">
      <c r="D5" s="681" t="s">
        <v>1181</v>
      </c>
      <c r="F5" s="681" t="s">
        <v>1182</v>
      </c>
      <c r="AE5" s="595"/>
      <c r="AF5" s="595"/>
      <c r="AG5" s="595"/>
      <c r="AH5" s="595"/>
      <c r="AI5" s="595"/>
      <c r="AJ5" s="595"/>
      <c r="AK5" s="595"/>
      <c r="AL5" s="595"/>
      <c r="AM5" s="595"/>
      <c r="AN5" s="595"/>
      <c r="AO5" s="595"/>
      <c r="AP5" s="595"/>
      <c r="AQ5" s="595"/>
      <c r="AR5" s="595"/>
      <c r="AS5" s="595"/>
      <c r="AT5" s="595"/>
      <c r="AU5" s="595"/>
      <c r="AV5" s="595"/>
      <c r="AW5" s="595"/>
      <c r="AX5" s="595"/>
    </row>
    <row r="6" spans="1:50" x14ac:dyDescent="0.2">
      <c r="A6" t="s">
        <v>226</v>
      </c>
      <c r="B6" t="s">
        <v>227</v>
      </c>
      <c r="C6" s="3" t="s">
        <v>16</v>
      </c>
      <c r="D6" s="219">
        <f>[4]!CashBal</f>
        <v>10108566</v>
      </c>
      <c r="E6" s="3" t="s">
        <v>16</v>
      </c>
      <c r="F6" s="55">
        <v>6343617</v>
      </c>
      <c r="I6" t="s">
        <v>228</v>
      </c>
      <c r="J6" s="220" t="s">
        <v>24</v>
      </c>
      <c r="K6" s="221" t="s">
        <v>229</v>
      </c>
      <c r="L6" s="222"/>
      <c r="M6" s="223"/>
      <c r="N6" s="222"/>
      <c r="O6" s="223"/>
      <c r="P6" s="222"/>
      <c r="Q6" s="223"/>
      <c r="T6" s="24">
        <v>143</v>
      </c>
      <c r="U6" s="730"/>
      <c r="V6" s="730"/>
      <c r="W6" s="730"/>
      <c r="X6" s="730"/>
      <c r="Y6" s="730"/>
      <c r="Z6" s="730"/>
      <c r="AA6" s="730"/>
      <c r="AE6" s="595"/>
      <c r="AF6" s="595"/>
      <c r="AG6" s="595"/>
      <c r="AH6" s="595"/>
      <c r="AI6" s="595"/>
      <c r="AJ6" s="595"/>
      <c r="AK6" s="595"/>
      <c r="AL6" s="595"/>
      <c r="AM6" s="595"/>
      <c r="AN6" s="595"/>
      <c r="AO6" s="595"/>
      <c r="AP6" s="595"/>
      <c r="AQ6" s="595"/>
      <c r="AR6" s="595"/>
      <c r="AS6" s="595"/>
      <c r="AT6" s="595"/>
      <c r="AU6" s="595"/>
      <c r="AV6" s="595"/>
      <c r="AW6" s="595"/>
      <c r="AX6" s="595"/>
    </row>
    <row r="7" spans="1:50" x14ac:dyDescent="0.2">
      <c r="D7" s="225"/>
      <c r="F7" s="225"/>
      <c r="J7" s="220" t="s">
        <v>26</v>
      </c>
      <c r="K7" s="221" t="s">
        <v>230</v>
      </c>
      <c r="L7" s="222"/>
      <c r="M7" s="223"/>
      <c r="N7" s="222"/>
      <c r="O7" s="223"/>
      <c r="P7" s="222"/>
      <c r="Q7" s="223"/>
      <c r="T7" s="24">
        <v>4</v>
      </c>
      <c r="AA7" s="226" t="str">
        <f>IF(OR(CashBal="",F9="",G9="",F10="",G10="",G14="",G15="",G16="",G17="",G18="",G19="",F23="",F24="",F25="",F26="",F27="",F28="",G33="",G34="",G35="",G36="",G38="",G40=""),"yes","")</f>
        <v/>
      </c>
      <c r="AE7" s="595"/>
      <c r="AF7" s="595"/>
      <c r="AG7" s="595"/>
      <c r="AH7" s="595"/>
      <c r="AI7" s="595"/>
      <c r="AJ7" s="595"/>
      <c r="AK7" s="595"/>
      <c r="AL7" s="595"/>
      <c r="AM7" s="595"/>
      <c r="AN7" s="595"/>
      <c r="AO7" s="595"/>
      <c r="AP7" s="595"/>
      <c r="AQ7" s="595"/>
      <c r="AR7" s="595"/>
      <c r="AS7" s="595"/>
      <c r="AT7" s="595"/>
      <c r="AU7" s="595"/>
      <c r="AV7" s="595"/>
      <c r="AW7" s="595"/>
      <c r="AX7" s="595"/>
    </row>
    <row r="8" spans="1:50" x14ac:dyDescent="0.2">
      <c r="A8" t="s">
        <v>231</v>
      </c>
      <c r="B8" s="221" t="s">
        <v>232</v>
      </c>
      <c r="C8" s="3"/>
      <c r="E8" s="3"/>
      <c r="F8" s="633" t="s">
        <v>101</v>
      </c>
      <c r="G8" s="633" t="s">
        <v>23</v>
      </c>
      <c r="J8" s="220" t="s">
        <v>28</v>
      </c>
      <c r="K8" s="221" t="s">
        <v>233</v>
      </c>
      <c r="L8" s="222"/>
      <c r="M8" s="223"/>
      <c r="N8" s="222"/>
      <c r="O8" s="223"/>
      <c r="P8" s="222"/>
      <c r="Q8" s="223"/>
      <c r="T8" s="27">
        <v>0</v>
      </c>
      <c r="AA8" s="226" t="str">
        <f>IF(OR(T6="",T7="",T8="",T9="",T10="",T11="",T12="",T13="",T29=""),"yes","")</f>
        <v/>
      </c>
      <c r="AE8" s="595"/>
      <c r="AF8" s="595"/>
      <c r="AG8" s="595"/>
      <c r="AH8" s="595"/>
      <c r="AI8" s="595"/>
      <c r="AJ8" s="595"/>
      <c r="AK8" s="595"/>
      <c r="AL8" s="595"/>
      <c r="AM8" s="595"/>
      <c r="AN8" s="595"/>
      <c r="AO8" s="595"/>
      <c r="AP8" s="595"/>
      <c r="AQ8" s="595"/>
      <c r="AR8" s="595"/>
      <c r="AS8" s="595"/>
      <c r="AT8" s="595"/>
      <c r="AU8" s="595"/>
      <c r="AV8" s="595"/>
      <c r="AW8" s="595"/>
      <c r="AX8" s="595"/>
    </row>
    <row r="9" spans="1:50" x14ac:dyDescent="0.2">
      <c r="B9" t="s">
        <v>234</v>
      </c>
      <c r="C9" s="3"/>
      <c r="E9" s="3"/>
      <c r="F9" s="51">
        <v>32763</v>
      </c>
      <c r="G9" s="51">
        <v>18425</v>
      </c>
      <c r="J9" s="227" t="s">
        <v>31</v>
      </c>
      <c r="K9" t="s">
        <v>235</v>
      </c>
      <c r="T9" s="25">
        <v>1</v>
      </c>
      <c r="AA9" s="226" t="str">
        <f>IF(OR(M19="",P19="",R19="",S19="",T19="",M20="",P20="",R20="",S20="",T20="",M21="",P21="",R21="",S21="",T21="",M22="",P22="",R22="",S22="",T22="",M24="",P24="",R24="",S24="",T24=""),"yes","")</f>
        <v/>
      </c>
      <c r="AE9" s="595"/>
      <c r="AF9" s="595"/>
      <c r="AG9" s="595"/>
      <c r="AH9" s="595"/>
      <c r="AI9" s="595"/>
      <c r="AJ9" s="595"/>
      <c r="AK9" s="595"/>
      <c r="AL9" s="595"/>
      <c r="AM9" s="595"/>
      <c r="AN9" s="595"/>
      <c r="AO9" s="595"/>
      <c r="AP9" s="595"/>
      <c r="AQ9" s="595"/>
      <c r="AR9" s="595"/>
      <c r="AS9" s="595"/>
      <c r="AT9" s="595"/>
      <c r="AU9" s="595"/>
      <c r="AV9" s="595"/>
      <c r="AW9" s="595"/>
      <c r="AX9" s="595"/>
    </row>
    <row r="10" spans="1:50" ht="13.5" thickBot="1" x14ac:dyDescent="0.25">
      <c r="B10" t="s">
        <v>236</v>
      </c>
      <c r="F10" s="54">
        <v>10238</v>
      </c>
      <c r="G10" s="54">
        <v>8219</v>
      </c>
      <c r="J10" s="227" t="s">
        <v>33</v>
      </c>
      <c r="K10" t="s">
        <v>237</v>
      </c>
      <c r="T10" s="24">
        <v>180</v>
      </c>
      <c r="AA10" s="226" t="str">
        <f>IF(AND(AA7="",AA8="",AA9=""),"","yes")</f>
        <v/>
      </c>
      <c r="AE10" s="595"/>
      <c r="AF10" s="595"/>
      <c r="AG10" s="595"/>
      <c r="AH10" s="595"/>
      <c r="AI10" s="595"/>
      <c r="AJ10" s="595"/>
      <c r="AK10" s="595"/>
      <c r="AL10" s="595"/>
      <c r="AM10" s="595"/>
      <c r="AN10" s="595"/>
      <c r="AO10" s="595"/>
      <c r="AP10" s="595"/>
      <c r="AQ10" s="595"/>
      <c r="AR10" s="595"/>
      <c r="AS10" s="595"/>
      <c r="AT10" s="595"/>
      <c r="AU10" s="595"/>
      <c r="AV10" s="595"/>
      <c r="AW10" s="595"/>
      <c r="AX10" s="595"/>
    </row>
    <row r="11" spans="1:50" ht="13.5" thickBot="1" x14ac:dyDescent="0.25">
      <c r="B11" t="s">
        <v>238</v>
      </c>
      <c r="F11" s="229">
        <f>SUM(F9:F10)</f>
        <v>43001</v>
      </c>
      <c r="G11" s="229">
        <f>SUM(G9:G10)</f>
        <v>26644</v>
      </c>
      <c r="J11" s="90" t="s">
        <v>35</v>
      </c>
      <c r="K11" t="s">
        <v>239</v>
      </c>
      <c r="S11" s="3" t="s">
        <v>16</v>
      </c>
      <c r="T11" s="25">
        <v>0</v>
      </c>
      <c r="AE11" s="595"/>
      <c r="AF11" s="595"/>
      <c r="AG11" s="595"/>
      <c r="AH11" s="595"/>
      <c r="AI11" s="595"/>
      <c r="AJ11" s="595"/>
      <c r="AK11" s="595"/>
      <c r="AL11" s="595"/>
      <c r="AM11" s="595"/>
      <c r="AN11" s="595"/>
      <c r="AO11" s="595"/>
      <c r="AP11" s="595"/>
      <c r="AQ11" s="595"/>
      <c r="AR11" s="595"/>
      <c r="AS11" s="595"/>
      <c r="AT11" s="595"/>
      <c r="AU11" s="595"/>
      <c r="AV11" s="595"/>
      <c r="AW11" s="595"/>
      <c r="AX11" s="595"/>
    </row>
    <row r="12" spans="1:50" ht="13.5" thickTop="1" x14ac:dyDescent="0.2">
      <c r="J12" s="90" t="s">
        <v>37</v>
      </c>
      <c r="K12" t="s">
        <v>240</v>
      </c>
      <c r="S12" s="3" t="s">
        <v>16</v>
      </c>
      <c r="T12" s="25">
        <v>0</v>
      </c>
      <c r="AE12" s="595"/>
      <c r="AF12" s="595"/>
      <c r="AG12" s="595"/>
      <c r="AH12" s="595"/>
      <c r="AI12" s="595"/>
      <c r="AJ12" s="595"/>
      <c r="AK12" s="595"/>
      <c r="AL12" s="595"/>
      <c r="AM12" s="595"/>
      <c r="AN12" s="595"/>
      <c r="AO12" s="595"/>
      <c r="AP12" s="595"/>
      <c r="AQ12" s="595"/>
      <c r="AR12" s="595"/>
      <c r="AS12" s="595"/>
      <c r="AT12" s="595"/>
      <c r="AU12" s="595"/>
      <c r="AV12" s="595"/>
      <c r="AW12" s="595"/>
      <c r="AX12" s="595"/>
    </row>
    <row r="13" spans="1:50" x14ac:dyDescent="0.2">
      <c r="A13" t="s">
        <v>241</v>
      </c>
      <c r="B13" s="221" t="s">
        <v>242</v>
      </c>
      <c r="F13" s="633" t="s">
        <v>101</v>
      </c>
      <c r="G13" s="633" t="s">
        <v>23</v>
      </c>
      <c r="J13" s="90" t="s">
        <v>39</v>
      </c>
      <c r="K13" t="s">
        <v>243</v>
      </c>
      <c r="S13" s="3" t="s">
        <v>16</v>
      </c>
      <c r="T13" s="626">
        <v>0</v>
      </c>
      <c r="AE13" s="595"/>
      <c r="AF13" s="595"/>
      <c r="AG13" s="595"/>
      <c r="AH13" s="595"/>
      <c r="AI13" s="595"/>
      <c r="AJ13" s="595"/>
      <c r="AK13" s="595"/>
      <c r="AL13" s="595"/>
      <c r="AM13" s="595"/>
      <c r="AN13" s="595"/>
      <c r="AO13" s="595"/>
      <c r="AP13" s="595"/>
      <c r="AQ13" s="595"/>
      <c r="AR13" s="595"/>
      <c r="AS13" s="595"/>
      <c r="AT13" s="595"/>
      <c r="AU13" s="595"/>
      <c r="AV13" s="595"/>
      <c r="AW13" s="595"/>
      <c r="AX13" s="595"/>
    </row>
    <row r="14" spans="1:50" x14ac:dyDescent="0.2">
      <c r="B14" t="s">
        <v>244</v>
      </c>
      <c r="F14" s="598">
        <f>[3]!CA0181IntangibleAssets</f>
        <v>0</v>
      </c>
      <c r="G14" s="49">
        <v>0</v>
      </c>
      <c r="J14" s="90"/>
      <c r="T14" s="3"/>
      <c r="U14" s="230"/>
      <c r="AE14" s="595"/>
      <c r="AF14" s="595"/>
      <c r="AG14" s="595"/>
      <c r="AH14" s="595"/>
      <c r="AI14" s="595"/>
      <c r="AJ14" s="595"/>
      <c r="AK14" s="595"/>
      <c r="AL14" s="595"/>
      <c r="AM14" s="595"/>
      <c r="AN14" s="595"/>
      <c r="AO14" s="595"/>
      <c r="AP14" s="595"/>
      <c r="AQ14" s="595"/>
      <c r="AR14" s="595"/>
      <c r="AS14" s="595"/>
      <c r="AT14" s="595"/>
      <c r="AU14" s="595"/>
      <c r="AV14" s="595"/>
      <c r="AW14" s="595"/>
      <c r="AX14" s="595"/>
    </row>
    <row r="15" spans="1:50" x14ac:dyDescent="0.2">
      <c r="B15" t="s">
        <v>245</v>
      </c>
      <c r="F15" s="598">
        <f>[3]!CA0191Land</f>
        <v>0</v>
      </c>
      <c r="G15" s="49">
        <v>0</v>
      </c>
      <c r="AE15" s="595"/>
      <c r="AF15" s="595"/>
      <c r="AG15" s="595"/>
      <c r="AH15" s="595"/>
      <c r="AI15" s="595"/>
      <c r="AJ15" s="595"/>
      <c r="AK15" s="595"/>
      <c r="AL15" s="595"/>
      <c r="AM15" s="595"/>
      <c r="AN15" s="595"/>
      <c r="AO15" s="595"/>
      <c r="AP15" s="595"/>
      <c r="AQ15" s="595"/>
      <c r="AR15" s="595"/>
      <c r="AS15" s="595"/>
      <c r="AT15" s="595"/>
      <c r="AU15" s="595"/>
      <c r="AV15" s="595"/>
      <c r="AW15" s="595"/>
      <c r="AX15" s="595"/>
    </row>
    <row r="16" spans="1:50" ht="12.75" customHeight="1" x14ac:dyDescent="0.2">
      <c r="B16" t="s">
        <v>246</v>
      </c>
      <c r="F16" s="598">
        <f>[3]!CA0192SiteImprovements</f>
        <v>0</v>
      </c>
      <c r="G16" s="49">
        <v>0</v>
      </c>
      <c r="M16" s="770" t="s">
        <v>247</v>
      </c>
      <c r="N16" s="785"/>
      <c r="O16" s="771"/>
      <c r="P16" s="770" t="s">
        <v>248</v>
      </c>
      <c r="Q16" s="771"/>
      <c r="R16" s="231" t="s">
        <v>247</v>
      </c>
      <c r="S16" s="231" t="s">
        <v>248</v>
      </c>
      <c r="T16" s="231" t="s">
        <v>249</v>
      </c>
      <c r="V16" s="4"/>
      <c r="W16" s="4"/>
      <c r="AE16" s="595"/>
      <c r="AF16" s="595"/>
      <c r="AG16" s="595"/>
      <c r="AH16" s="595"/>
      <c r="AI16" s="595"/>
      <c r="AJ16" s="595"/>
      <c r="AK16" s="595"/>
      <c r="AL16" s="595"/>
      <c r="AM16" s="595"/>
      <c r="AN16" s="595"/>
      <c r="AO16" s="595"/>
      <c r="AP16" s="595"/>
      <c r="AQ16" s="595"/>
      <c r="AR16" s="595"/>
      <c r="AS16" s="595"/>
      <c r="AT16" s="595"/>
      <c r="AU16" s="595"/>
      <c r="AV16" s="595"/>
      <c r="AW16" s="595"/>
      <c r="AX16" s="595"/>
    </row>
    <row r="17" spans="1:50" ht="12.75" customHeight="1" x14ac:dyDescent="0.2">
      <c r="B17" t="s">
        <v>250</v>
      </c>
      <c r="F17" s="598">
        <f>[3]!CA0194Buildings</f>
        <v>0</v>
      </c>
      <c r="G17" s="49">
        <v>0</v>
      </c>
      <c r="I17" t="s">
        <v>251</v>
      </c>
      <c r="J17" s="221" t="s">
        <v>252</v>
      </c>
      <c r="K17" s="221"/>
      <c r="L17" s="221"/>
      <c r="M17" s="778" t="s">
        <v>253</v>
      </c>
      <c r="N17" s="779"/>
      <c r="O17" s="780"/>
      <c r="P17" s="778" t="s">
        <v>253</v>
      </c>
      <c r="Q17" s="780"/>
      <c r="R17" s="232" t="s">
        <v>254</v>
      </c>
      <c r="S17" s="232" t="s">
        <v>254</v>
      </c>
      <c r="T17" s="232" t="s">
        <v>253</v>
      </c>
      <c r="V17" s="4"/>
      <c r="W17" s="4"/>
      <c r="AE17" s="595"/>
      <c r="AF17" s="595"/>
      <c r="AG17" s="595"/>
      <c r="AH17" s="595"/>
      <c r="AI17" s="595"/>
      <c r="AJ17" s="595"/>
      <c r="AK17" s="595"/>
      <c r="AL17" s="595"/>
      <c r="AM17" s="595"/>
      <c r="AN17" s="595"/>
      <c r="AO17" s="595"/>
      <c r="AP17" s="595"/>
      <c r="AQ17" s="595"/>
      <c r="AR17" s="595"/>
      <c r="AS17" s="595"/>
      <c r="AT17" s="595"/>
      <c r="AU17" s="595"/>
      <c r="AV17" s="595"/>
      <c r="AW17" s="595"/>
      <c r="AX17" s="595"/>
    </row>
    <row r="18" spans="1:50" ht="12.75" customHeight="1" x14ac:dyDescent="0.2">
      <c r="B18" t="s">
        <v>255</v>
      </c>
      <c r="F18" s="598">
        <f>[3]!CA0196Equipment</f>
        <v>0</v>
      </c>
      <c r="G18" s="49">
        <v>7544383</v>
      </c>
      <c r="J18" s="221" t="s">
        <v>256</v>
      </c>
      <c r="K18" s="221"/>
      <c r="L18" s="221"/>
      <c r="M18" s="781" t="s">
        <v>257</v>
      </c>
      <c r="N18" s="782"/>
      <c r="O18" s="783"/>
      <c r="P18" s="781" t="s">
        <v>258</v>
      </c>
      <c r="Q18" s="783"/>
      <c r="R18" s="233" t="s">
        <v>259</v>
      </c>
      <c r="S18" s="233" t="s">
        <v>260</v>
      </c>
      <c r="T18" s="233" t="s">
        <v>261</v>
      </c>
      <c r="V18" s="4"/>
      <c r="W18" s="4"/>
      <c r="AE18" s="595"/>
      <c r="AF18" s="595"/>
      <c r="AG18" s="595"/>
      <c r="AH18" s="595"/>
      <c r="AI18" s="595"/>
      <c r="AJ18" s="595"/>
      <c r="AK18" s="595"/>
      <c r="AL18" s="595"/>
      <c r="AM18" s="595"/>
      <c r="AN18" s="595"/>
      <c r="AO18" s="595"/>
      <c r="AP18" s="595"/>
      <c r="AQ18" s="595"/>
      <c r="AR18" s="595"/>
      <c r="AS18" s="595"/>
      <c r="AT18" s="595"/>
      <c r="AU18" s="595"/>
      <c r="AV18" s="595"/>
      <c r="AW18" s="595"/>
      <c r="AX18" s="595"/>
    </row>
    <row r="19" spans="1:50" ht="12.75" customHeight="1" thickBot="1" x14ac:dyDescent="0.25">
      <c r="B19" s="221" t="s">
        <v>262</v>
      </c>
      <c r="F19" s="228">
        <f>[3]!CA0198CIP</f>
        <v>7500000</v>
      </c>
      <c r="G19" s="53">
        <v>0</v>
      </c>
      <c r="J19" s="220" t="s">
        <v>24</v>
      </c>
      <c r="K19" s="221" t="s">
        <v>263</v>
      </c>
      <c r="L19" s="221"/>
      <c r="M19" s="772">
        <v>7754024</v>
      </c>
      <c r="N19" s="773"/>
      <c r="O19" s="777"/>
      <c r="P19" s="772">
        <v>71198</v>
      </c>
      <c r="Q19" s="773"/>
      <c r="R19" s="28">
        <v>0</v>
      </c>
      <c r="S19" s="28">
        <v>0</v>
      </c>
      <c r="T19" s="28">
        <v>0</v>
      </c>
      <c r="V19" s="4"/>
      <c r="W19" s="4"/>
      <c r="AE19" s="595"/>
      <c r="AF19" s="595"/>
      <c r="AG19" s="595"/>
      <c r="AH19" s="595"/>
      <c r="AI19" s="595"/>
      <c r="AJ19" s="595"/>
      <c r="AK19" s="595"/>
      <c r="AL19" s="595"/>
      <c r="AM19" s="595"/>
      <c r="AN19" s="595"/>
      <c r="AO19" s="595"/>
      <c r="AP19" s="595"/>
      <c r="AQ19" s="595"/>
      <c r="AR19" s="595"/>
      <c r="AS19" s="595"/>
      <c r="AT19" s="595"/>
      <c r="AU19" s="595"/>
      <c r="AV19" s="595"/>
      <c r="AW19" s="595"/>
      <c r="AX19" s="595"/>
    </row>
    <row r="20" spans="1:50" ht="13.5" customHeight="1" thickBot="1" x14ac:dyDescent="0.25">
      <c r="B20" t="s">
        <v>264</v>
      </c>
      <c r="F20" s="587">
        <f>SUM(F14:F19)</f>
        <v>7500000</v>
      </c>
      <c r="G20" s="229">
        <f>SUM(G14:G19)</f>
        <v>7544383</v>
      </c>
      <c r="J20" s="220" t="s">
        <v>26</v>
      </c>
      <c r="K20" s="221" t="s">
        <v>265</v>
      </c>
      <c r="L20" s="221"/>
      <c r="M20" s="772">
        <v>641591</v>
      </c>
      <c r="N20" s="773"/>
      <c r="O20" s="777"/>
      <c r="P20" s="772">
        <v>0</v>
      </c>
      <c r="Q20" s="773"/>
      <c r="R20" s="28">
        <v>0</v>
      </c>
      <c r="S20" s="28">
        <v>0</v>
      </c>
      <c r="T20" s="28">
        <v>0</v>
      </c>
      <c r="V20" s="4"/>
      <c r="W20" s="4"/>
      <c r="AE20" s="595"/>
      <c r="AF20" s="595"/>
      <c r="AG20" s="595"/>
      <c r="AH20" s="595"/>
      <c r="AI20" s="595"/>
      <c r="AJ20" s="595"/>
      <c r="AK20" s="595"/>
      <c r="AL20" s="595"/>
      <c r="AM20" s="595"/>
      <c r="AN20" s="595"/>
      <c r="AO20" s="595"/>
      <c r="AP20" s="595"/>
      <c r="AQ20" s="595"/>
      <c r="AR20" s="595"/>
      <c r="AS20" s="595"/>
      <c r="AT20" s="595"/>
      <c r="AU20" s="595"/>
      <c r="AV20" s="595"/>
      <c r="AW20" s="595"/>
      <c r="AX20" s="595"/>
    </row>
    <row r="21" spans="1:50" ht="13.5" thickTop="1" x14ac:dyDescent="0.2">
      <c r="J21" s="220" t="s">
        <v>28</v>
      </c>
      <c r="K21" s="221" t="s">
        <v>266</v>
      </c>
      <c r="L21" s="221"/>
      <c r="M21" s="772">
        <v>0</v>
      </c>
      <c r="N21" s="773"/>
      <c r="O21" s="777"/>
      <c r="P21" s="772">
        <v>0</v>
      </c>
      <c r="Q21" s="773"/>
      <c r="R21" s="28">
        <v>0</v>
      </c>
      <c r="S21" s="28">
        <v>0</v>
      </c>
      <c r="T21" s="28">
        <v>0</v>
      </c>
      <c r="U21" s="230"/>
      <c r="V21" s="4"/>
      <c r="W21" s="4"/>
      <c r="AE21" s="595"/>
      <c r="AF21" s="595"/>
      <c r="AG21" s="595"/>
      <c r="AH21" s="595"/>
      <c r="AI21" s="595"/>
      <c r="AJ21" s="595"/>
      <c r="AK21" s="595"/>
      <c r="AL21" s="595"/>
      <c r="AM21" s="595"/>
      <c r="AN21" s="595"/>
      <c r="AO21" s="595"/>
      <c r="AP21" s="595"/>
      <c r="AQ21" s="595"/>
      <c r="AR21" s="595"/>
      <c r="AS21" s="595"/>
      <c r="AT21" s="595"/>
      <c r="AU21" s="595"/>
      <c r="AV21" s="595"/>
      <c r="AW21" s="595"/>
      <c r="AX21" s="595"/>
    </row>
    <row r="22" spans="1:50" ht="13.5" customHeight="1" x14ac:dyDescent="0.2">
      <c r="A22" t="s">
        <v>267</v>
      </c>
      <c r="B22" s="221" t="s">
        <v>1183</v>
      </c>
      <c r="C22" s="235"/>
      <c r="D22" s="235"/>
      <c r="E22" s="221"/>
      <c r="F22" s="221"/>
      <c r="J22" s="220" t="s">
        <v>31</v>
      </c>
      <c r="K22" s="221" t="s">
        <v>268</v>
      </c>
      <c r="L22" s="221"/>
      <c r="M22" s="774">
        <v>68286</v>
      </c>
      <c r="N22" s="775"/>
      <c r="O22" s="776"/>
      <c r="P22" s="772">
        <v>0</v>
      </c>
      <c r="Q22" s="777"/>
      <c r="R22" s="28">
        <v>0</v>
      </c>
      <c r="S22" s="28">
        <v>0</v>
      </c>
      <c r="T22" s="28">
        <v>0</v>
      </c>
      <c r="U22" s="230"/>
      <c r="AE22" s="595"/>
      <c r="AF22" s="595"/>
      <c r="AG22" s="595"/>
      <c r="AH22" s="595"/>
      <c r="AI22" s="595"/>
      <c r="AJ22" s="595"/>
      <c r="AK22" s="595"/>
      <c r="AL22" s="595"/>
      <c r="AM22" s="595"/>
      <c r="AN22" s="595"/>
      <c r="AO22" s="595"/>
      <c r="AP22" s="595"/>
      <c r="AQ22" s="595"/>
      <c r="AR22" s="595"/>
      <c r="AS22" s="595"/>
      <c r="AT22" s="595"/>
      <c r="AU22" s="595"/>
      <c r="AV22" s="595"/>
      <c r="AW22" s="595"/>
      <c r="AX22" s="595"/>
    </row>
    <row r="23" spans="1:50" ht="13.5" customHeight="1" x14ac:dyDescent="0.2">
      <c r="B23" t="s">
        <v>244</v>
      </c>
      <c r="E23" s="3" t="s">
        <v>16</v>
      </c>
      <c r="F23" s="24">
        <v>0</v>
      </c>
      <c r="J23" s="220" t="s">
        <v>33</v>
      </c>
      <c r="K23" s="786" t="s">
        <v>269</v>
      </c>
      <c r="L23" s="787"/>
      <c r="M23" s="236"/>
      <c r="N23" s="237"/>
      <c r="O23" s="238"/>
      <c r="P23" s="237"/>
      <c r="Q23" s="238"/>
      <c r="R23" s="239"/>
      <c r="S23" s="239"/>
      <c r="T23" s="239"/>
      <c r="U23" s="230"/>
      <c r="AE23" s="595"/>
      <c r="AF23" s="595"/>
      <c r="AG23" s="595"/>
      <c r="AH23" s="595"/>
      <c r="AI23" s="595"/>
      <c r="AJ23" s="595"/>
      <c r="AK23" s="595"/>
      <c r="AL23" s="595"/>
      <c r="AM23" s="595"/>
      <c r="AN23" s="595"/>
      <c r="AO23" s="595"/>
      <c r="AP23" s="595"/>
      <c r="AQ23" s="595"/>
      <c r="AR23" s="595"/>
      <c r="AS23" s="595"/>
      <c r="AT23" s="595"/>
      <c r="AU23" s="595"/>
      <c r="AV23" s="595"/>
      <c r="AW23" s="595"/>
      <c r="AX23" s="595"/>
    </row>
    <row r="24" spans="1:50" ht="13.5" customHeight="1" x14ac:dyDescent="0.2">
      <c r="B24" t="s">
        <v>245</v>
      </c>
      <c r="E24" s="3" t="s">
        <v>16</v>
      </c>
      <c r="F24" s="24">
        <v>0</v>
      </c>
      <c r="J24" s="240"/>
      <c r="K24" s="786"/>
      <c r="L24" s="787"/>
      <c r="M24" s="795">
        <v>42808</v>
      </c>
      <c r="N24" s="796"/>
      <c r="O24" s="797"/>
      <c r="P24" s="795">
        <v>500</v>
      </c>
      <c r="Q24" s="796"/>
      <c r="R24" s="29">
        <v>0</v>
      </c>
      <c r="S24" s="29">
        <v>0</v>
      </c>
      <c r="T24" s="29">
        <v>0</v>
      </c>
      <c r="U24" s="230"/>
      <c r="AE24" s="595"/>
      <c r="AF24" s="595"/>
      <c r="AG24" s="595"/>
      <c r="AH24" s="595"/>
      <c r="AI24" s="595"/>
      <c r="AJ24" s="595"/>
      <c r="AK24" s="595"/>
      <c r="AL24" s="595"/>
      <c r="AM24" s="595"/>
      <c r="AN24" s="595"/>
      <c r="AO24" s="595"/>
      <c r="AP24" s="595"/>
      <c r="AQ24" s="595"/>
      <c r="AR24" s="595"/>
      <c r="AS24" s="595"/>
      <c r="AT24" s="595"/>
      <c r="AU24" s="595"/>
      <c r="AV24" s="595"/>
      <c r="AW24" s="595"/>
      <c r="AX24" s="595"/>
    </row>
    <row r="25" spans="1:50" ht="13.5" customHeight="1" x14ac:dyDescent="0.2">
      <c r="B25" t="s">
        <v>246</v>
      </c>
      <c r="E25" s="3" t="s">
        <v>16</v>
      </c>
      <c r="F25" s="24">
        <v>0</v>
      </c>
      <c r="M25" s="26"/>
      <c r="N25" s="26"/>
      <c r="O25" s="26"/>
      <c r="P25" s="26"/>
      <c r="Q25" s="26"/>
      <c r="R25" s="26"/>
      <c r="S25" s="26"/>
      <c r="T25" s="26"/>
      <c r="U25" s="26"/>
      <c r="AE25" s="595"/>
      <c r="AF25" s="595"/>
      <c r="AG25" s="595"/>
      <c r="AH25" s="595"/>
      <c r="AI25" s="595"/>
      <c r="AJ25" s="595"/>
      <c r="AK25" s="595"/>
      <c r="AL25" s="595"/>
      <c r="AM25" s="595"/>
      <c r="AN25" s="595"/>
      <c r="AO25" s="595"/>
      <c r="AP25" s="595"/>
      <c r="AQ25" s="595"/>
      <c r="AR25" s="595"/>
      <c r="AS25" s="595"/>
      <c r="AT25" s="595"/>
      <c r="AU25" s="595"/>
      <c r="AV25" s="595"/>
      <c r="AW25" s="595"/>
      <c r="AX25" s="595"/>
    </row>
    <row r="26" spans="1:50" ht="13.5" customHeight="1" x14ac:dyDescent="0.2">
      <c r="B26" t="s">
        <v>250</v>
      </c>
      <c r="E26" s="3" t="s">
        <v>16</v>
      </c>
      <c r="F26" s="25">
        <v>0</v>
      </c>
      <c r="M26" s="230"/>
      <c r="N26" s="230"/>
      <c r="O26" s="230"/>
      <c r="P26" s="230"/>
      <c r="Q26" s="230"/>
      <c r="R26" s="230"/>
      <c r="S26" s="230"/>
      <c r="T26" s="230"/>
      <c r="U26" s="230"/>
      <c r="AI26" s="595"/>
      <c r="AJ26" s="595"/>
      <c r="AK26" s="595"/>
      <c r="AL26" s="595"/>
      <c r="AM26" s="595"/>
      <c r="AN26" s="595"/>
      <c r="AO26" s="595"/>
      <c r="AP26" s="595"/>
      <c r="AQ26" s="595"/>
      <c r="AR26" s="595"/>
      <c r="AS26" s="595"/>
      <c r="AT26" s="595"/>
      <c r="AU26" s="595"/>
      <c r="AV26" s="595"/>
      <c r="AW26" s="595"/>
      <c r="AX26" s="595"/>
    </row>
    <row r="27" spans="1:50" ht="15.75" customHeight="1" thickBot="1" x14ac:dyDescent="0.25">
      <c r="B27" t="s">
        <v>255</v>
      </c>
      <c r="E27" s="3" t="s">
        <v>16</v>
      </c>
      <c r="F27" s="24">
        <v>17784355</v>
      </c>
      <c r="I27" t="s">
        <v>270</v>
      </c>
      <c r="J27" s="221" t="s">
        <v>271</v>
      </c>
      <c r="K27" s="241"/>
      <c r="L27" s="241"/>
      <c r="M27" s="241"/>
      <c r="N27" s="241"/>
      <c r="O27" s="241"/>
      <c r="P27" s="241"/>
      <c r="Q27" s="241"/>
      <c r="R27" s="241"/>
      <c r="S27" s="596"/>
      <c r="AI27" s="595"/>
      <c r="AJ27" s="595"/>
      <c r="AK27" s="595"/>
      <c r="AL27" s="595"/>
      <c r="AM27" s="595"/>
      <c r="AN27" s="595"/>
      <c r="AO27" s="595"/>
      <c r="AP27" s="595"/>
      <c r="AQ27" s="595"/>
      <c r="AR27" s="595"/>
      <c r="AS27" s="595"/>
      <c r="AT27" s="595"/>
      <c r="AU27" s="595"/>
      <c r="AV27" s="595"/>
      <c r="AW27" s="595"/>
      <c r="AX27" s="595"/>
    </row>
    <row r="28" spans="1:50" ht="13.5" customHeight="1" thickBot="1" x14ac:dyDescent="0.3">
      <c r="B28" s="221" t="s">
        <v>262</v>
      </c>
      <c r="E28" s="3" t="s">
        <v>16</v>
      </c>
      <c r="F28" s="24">
        <v>0</v>
      </c>
      <c r="I28" s="90"/>
      <c r="K28" s="30"/>
      <c r="L28" t="s">
        <v>1184</v>
      </c>
      <c r="M28" s="242"/>
      <c r="N28" s="242"/>
      <c r="O28" s="242"/>
      <c r="P28" s="242"/>
      <c r="Q28" s="242"/>
      <c r="U28" s="596"/>
      <c r="AI28" s="595"/>
      <c r="AJ28" s="595"/>
      <c r="AK28" s="595"/>
      <c r="AL28" s="595"/>
      <c r="AM28" s="595"/>
      <c r="AN28" s="595"/>
      <c r="AO28" s="595"/>
      <c r="AP28" s="595"/>
      <c r="AQ28" s="595"/>
      <c r="AR28" s="595"/>
      <c r="AS28" s="595"/>
      <c r="AT28" s="595"/>
      <c r="AU28" s="595"/>
      <c r="AV28" s="595"/>
      <c r="AW28" s="595"/>
      <c r="AX28" s="595"/>
    </row>
    <row r="29" spans="1:50" ht="13.5" customHeight="1" thickBot="1" x14ac:dyDescent="0.25">
      <c r="B29" t="s">
        <v>272</v>
      </c>
      <c r="E29" s="3" t="s">
        <v>16</v>
      </c>
      <c r="F29" s="243">
        <f>SUM(F23:F28)</f>
        <v>17784355</v>
      </c>
      <c r="I29" s="90"/>
      <c r="J29" t="s">
        <v>24</v>
      </c>
      <c r="K29" t="s">
        <v>1185</v>
      </c>
      <c r="N29" s="244"/>
      <c r="S29" s="3" t="s">
        <v>16</v>
      </c>
      <c r="T29" s="56">
        <v>66237</v>
      </c>
      <c r="U29" s="596"/>
      <c r="AI29" s="595"/>
      <c r="AJ29" s="595"/>
      <c r="AK29" s="595"/>
      <c r="AL29" s="595"/>
      <c r="AM29" s="595"/>
      <c r="AN29" s="595"/>
      <c r="AO29" s="595"/>
      <c r="AP29" s="595"/>
      <c r="AQ29" s="595"/>
      <c r="AR29" s="595"/>
      <c r="AS29" s="595"/>
      <c r="AT29" s="595"/>
      <c r="AU29" s="595"/>
      <c r="AV29" s="595"/>
      <c r="AW29" s="595"/>
      <c r="AX29" s="595"/>
    </row>
    <row r="30" spans="1:50" ht="13.5" thickTop="1" x14ac:dyDescent="0.2">
      <c r="I30" s="90"/>
      <c r="J30" t="s">
        <v>26</v>
      </c>
      <c r="K30" t="s">
        <v>1186</v>
      </c>
      <c r="L30" s="159"/>
      <c r="M30" s="159"/>
      <c r="S30" s="3" t="s">
        <v>16</v>
      </c>
      <c r="T30" s="245">
        <f>'[4]Page 6'!$T$29</f>
        <v>57147</v>
      </c>
      <c r="U30" s="596"/>
      <c r="AI30" s="595"/>
      <c r="AJ30" s="595"/>
      <c r="AK30" s="595"/>
      <c r="AL30" s="595"/>
      <c r="AM30" s="595"/>
      <c r="AN30" s="595"/>
      <c r="AO30" s="595"/>
      <c r="AP30" s="595"/>
      <c r="AQ30" s="595"/>
      <c r="AR30" s="595"/>
      <c r="AS30" s="595"/>
      <c r="AT30" s="595"/>
      <c r="AU30" s="595"/>
      <c r="AV30" s="595"/>
      <c r="AW30" s="595"/>
      <c r="AX30" s="595"/>
    </row>
    <row r="31" spans="1:50" x14ac:dyDescent="0.2">
      <c r="A31" t="s">
        <v>273</v>
      </c>
      <c r="B31" s="221" t="s">
        <v>274</v>
      </c>
      <c r="C31" s="221"/>
      <c r="D31" s="221"/>
      <c r="E31" s="246"/>
      <c r="J31" t="s">
        <v>28</v>
      </c>
      <c r="K31" t="s">
        <v>1187</v>
      </c>
      <c r="L31" s="159"/>
      <c r="M31" s="159"/>
      <c r="S31" s="3" t="s">
        <v>16</v>
      </c>
      <c r="T31" s="247">
        <f>T29-T30</f>
        <v>9090</v>
      </c>
      <c r="U31" s="596"/>
      <c r="AI31" s="595"/>
      <c r="AJ31" s="595"/>
      <c r="AK31" s="595"/>
      <c r="AL31" s="595"/>
      <c r="AM31" s="595"/>
      <c r="AN31" s="595"/>
      <c r="AO31" s="595"/>
      <c r="AP31" s="595"/>
      <c r="AQ31" s="595"/>
      <c r="AR31" s="595"/>
      <c r="AS31" s="595"/>
      <c r="AT31" s="595"/>
      <c r="AU31" s="595"/>
      <c r="AV31" s="595"/>
      <c r="AW31" s="595"/>
      <c r="AX31" s="595"/>
    </row>
    <row r="32" spans="1:50" ht="13.5" thickBot="1" x14ac:dyDescent="0.25">
      <c r="B32" t="s">
        <v>275</v>
      </c>
      <c r="F32" s="3"/>
      <c r="G32" s="26"/>
      <c r="J32" s="248" t="s">
        <v>31</v>
      </c>
      <c r="K32" t="s">
        <v>276</v>
      </c>
      <c r="L32" s="249"/>
      <c r="M32" s="249"/>
      <c r="P32" s="117"/>
      <c r="Q32" s="117"/>
      <c r="R32" s="117"/>
      <c r="S32" s="3" t="s">
        <v>16</v>
      </c>
      <c r="T32" s="250">
        <f>IF(PriorYearSalary&gt;0,T31/T30,0)</f>
        <v>0.159</v>
      </c>
      <c r="U32" s="596"/>
      <c r="AI32" s="595"/>
      <c r="AJ32" s="595"/>
      <c r="AK32" s="595"/>
      <c r="AL32" s="595"/>
      <c r="AM32" s="595"/>
      <c r="AN32" s="595"/>
      <c r="AO32" s="595"/>
      <c r="AP32" s="595"/>
      <c r="AQ32" s="595"/>
      <c r="AR32" s="595"/>
      <c r="AS32" s="595"/>
      <c r="AT32" s="595"/>
      <c r="AU32" s="595"/>
      <c r="AV32" s="595"/>
      <c r="AW32" s="595"/>
      <c r="AX32" s="595"/>
    </row>
    <row r="33" spans="1:50" ht="13.5" customHeight="1" thickTop="1" x14ac:dyDescent="0.2">
      <c r="B33" t="s">
        <v>277</v>
      </c>
      <c r="F33" s="3" t="s">
        <v>16</v>
      </c>
      <c r="G33" s="24">
        <v>14715574</v>
      </c>
      <c r="H33" s="747" t="str">
        <f>IF('Page 2'!J48=0,"",IF(OR(G36&lt;=0),"The Charter did not report any current expenses for student support services on line 4. If the Charter did not have any expense, verify by checking the box in A16 on the Cover Page.",""))</f>
        <v/>
      </c>
      <c r="I33" s="747"/>
      <c r="J33" s="747"/>
      <c r="K33" s="747"/>
      <c r="L33" s="747"/>
      <c r="M33" s="747"/>
      <c r="N33" s="747"/>
      <c r="O33" s="747"/>
      <c r="P33" s="747"/>
      <c r="Q33" s="747"/>
      <c r="R33" s="747"/>
      <c r="S33" s="747"/>
      <c r="T33" s="4"/>
      <c r="U33" s="4"/>
      <c r="V33" s="4"/>
      <c r="AI33" s="595"/>
      <c r="AJ33" s="595"/>
      <c r="AK33" s="595"/>
      <c r="AL33" s="595"/>
      <c r="AM33" s="595"/>
      <c r="AN33" s="595"/>
      <c r="AO33" s="595"/>
      <c r="AP33" s="595"/>
      <c r="AQ33" s="595"/>
      <c r="AR33" s="595"/>
      <c r="AS33" s="595"/>
      <c r="AT33" s="595"/>
      <c r="AU33" s="595"/>
      <c r="AV33" s="595"/>
      <c r="AW33" s="595"/>
      <c r="AX33" s="595"/>
    </row>
    <row r="34" spans="1:50" ht="13.5" customHeight="1" x14ac:dyDescent="0.2">
      <c r="B34" t="s">
        <v>278</v>
      </c>
      <c r="C34" s="246"/>
      <c r="D34" s="246"/>
      <c r="E34" s="246"/>
      <c r="F34" s="3" t="s">
        <v>16</v>
      </c>
      <c r="G34" s="24">
        <v>879448</v>
      </c>
      <c r="H34" s="747"/>
      <c r="I34" s="747"/>
      <c r="J34" s="747"/>
      <c r="K34" s="747"/>
      <c r="L34" s="747"/>
      <c r="M34" s="747"/>
      <c r="N34" s="747"/>
      <c r="O34" s="747"/>
      <c r="P34" s="747"/>
      <c r="Q34" s="747"/>
      <c r="R34" s="747"/>
      <c r="S34" s="747"/>
      <c r="T34" s="4"/>
      <c r="U34" s="4"/>
      <c r="AI34" s="595"/>
      <c r="AJ34" s="595"/>
      <c r="AK34" s="595"/>
      <c r="AL34" s="595"/>
      <c r="AM34" s="595"/>
      <c r="AN34" s="595"/>
      <c r="AO34" s="595"/>
      <c r="AP34" s="595"/>
      <c r="AQ34" s="595"/>
      <c r="AR34" s="595"/>
      <c r="AS34" s="595"/>
      <c r="AT34" s="595"/>
      <c r="AU34" s="595"/>
      <c r="AV34" s="595"/>
      <c r="AW34" s="595"/>
      <c r="AX34" s="595"/>
    </row>
    <row r="35" spans="1:50" x14ac:dyDescent="0.2">
      <c r="B35" t="s">
        <v>279</v>
      </c>
      <c r="C35" s="246"/>
      <c r="D35" s="246"/>
      <c r="E35" s="246"/>
      <c r="F35" s="3" t="s">
        <v>16</v>
      </c>
      <c r="G35" s="25">
        <v>17582764</v>
      </c>
      <c r="K35" t="s">
        <v>280</v>
      </c>
      <c r="AI35" s="595"/>
      <c r="AJ35" s="595"/>
      <c r="AK35" s="595"/>
      <c r="AL35" s="595"/>
      <c r="AM35" s="595"/>
      <c r="AN35" s="595"/>
      <c r="AO35" s="595"/>
      <c r="AP35" s="595"/>
      <c r="AQ35" s="595"/>
      <c r="AR35" s="595"/>
      <c r="AS35" s="595"/>
      <c r="AT35" s="595"/>
      <c r="AU35" s="595"/>
      <c r="AV35" s="595"/>
      <c r="AW35" s="595"/>
      <c r="AX35" s="595"/>
    </row>
    <row r="36" spans="1:50" x14ac:dyDescent="0.2">
      <c r="B36" t="s">
        <v>281</v>
      </c>
      <c r="C36" s="246"/>
      <c r="D36" s="246"/>
      <c r="E36" s="246"/>
      <c r="F36" s="3" t="s">
        <v>16</v>
      </c>
      <c r="G36" s="24">
        <v>6166959</v>
      </c>
      <c r="K36" s="789"/>
      <c r="L36" s="790"/>
      <c r="M36" s="790"/>
      <c r="N36" s="790"/>
      <c r="O36" s="790"/>
      <c r="P36" s="790"/>
      <c r="Q36" s="790"/>
      <c r="R36" s="790"/>
      <c r="S36" s="790"/>
      <c r="T36" s="791"/>
      <c r="AI36" s="595"/>
      <c r="AJ36" s="595"/>
      <c r="AK36" s="595"/>
      <c r="AL36" s="595"/>
      <c r="AM36" s="595"/>
      <c r="AN36" s="595"/>
      <c r="AO36" s="595"/>
      <c r="AP36" s="595"/>
      <c r="AQ36" s="595"/>
      <c r="AR36" s="595"/>
      <c r="AS36" s="595"/>
      <c r="AT36" s="595"/>
      <c r="AU36" s="595"/>
      <c r="AV36" s="595"/>
      <c r="AW36" s="595"/>
      <c r="AX36" s="595"/>
    </row>
    <row r="37" spans="1:50" ht="15" x14ac:dyDescent="0.25">
      <c r="A37" s="251"/>
      <c r="B37" t="s">
        <v>282</v>
      </c>
      <c r="E37" s="246"/>
      <c r="F37" s="3"/>
      <c r="G37" s="26"/>
      <c r="K37" s="792"/>
      <c r="L37" s="793"/>
      <c r="M37" s="793"/>
      <c r="N37" s="793"/>
      <c r="O37" s="793"/>
      <c r="P37" s="793"/>
      <c r="Q37" s="793"/>
      <c r="R37" s="793"/>
      <c r="S37" s="793"/>
      <c r="T37" s="794"/>
      <c r="AI37" s="595"/>
      <c r="AJ37" s="595"/>
      <c r="AK37" s="595"/>
      <c r="AL37" s="595"/>
      <c r="AM37" s="595"/>
      <c r="AN37" s="595"/>
      <c r="AO37" s="595"/>
      <c r="AP37" s="595"/>
      <c r="AQ37" s="595"/>
      <c r="AR37" s="595"/>
      <c r="AS37" s="595"/>
      <c r="AT37" s="595"/>
      <c r="AU37" s="595"/>
      <c r="AV37" s="595"/>
      <c r="AW37" s="595"/>
      <c r="AX37" s="595"/>
    </row>
    <row r="38" spans="1:50" ht="15" x14ac:dyDescent="0.25">
      <c r="A38" s="251"/>
      <c r="B38" t="s">
        <v>283</v>
      </c>
      <c r="E38" s="246"/>
      <c r="F38" s="3" t="s">
        <v>16</v>
      </c>
      <c r="G38" s="24">
        <v>2402157</v>
      </c>
      <c r="J38" s="227"/>
      <c r="K38" s="596"/>
      <c r="S38" s="3"/>
      <c r="T38" s="252"/>
      <c r="AE38" s="595"/>
      <c r="AF38" s="595"/>
      <c r="AG38" s="595"/>
      <c r="AH38" s="595"/>
      <c r="AI38" s="595"/>
      <c r="AJ38" s="595"/>
      <c r="AK38" s="595"/>
      <c r="AL38" s="595"/>
      <c r="AM38" s="595"/>
      <c r="AN38" s="595"/>
      <c r="AO38" s="595"/>
      <c r="AP38" s="595"/>
      <c r="AQ38" s="595"/>
      <c r="AR38" s="595"/>
      <c r="AS38" s="595"/>
      <c r="AT38" s="595"/>
      <c r="AU38" s="595"/>
      <c r="AV38" s="595"/>
      <c r="AW38" s="595"/>
      <c r="AX38" s="595"/>
    </row>
    <row r="39" spans="1:50" ht="15.75" thickBot="1" x14ac:dyDescent="0.3">
      <c r="A39" s="251"/>
      <c r="B39" s="90" t="s">
        <v>284</v>
      </c>
      <c r="F39" s="3" t="s">
        <v>16</v>
      </c>
      <c r="G39" s="243">
        <f>SUM(G33:G38)</f>
        <v>41746902</v>
      </c>
      <c r="AE39" s="595"/>
      <c r="AF39" s="595"/>
      <c r="AG39" s="595"/>
      <c r="AH39" s="595"/>
      <c r="AI39" s="595"/>
      <c r="AJ39" s="595"/>
      <c r="AK39" s="595"/>
      <c r="AL39" s="595"/>
      <c r="AM39" s="595"/>
      <c r="AN39" s="595"/>
      <c r="AO39" s="595"/>
      <c r="AP39" s="595"/>
      <c r="AQ39" s="595"/>
      <c r="AR39" s="595"/>
      <c r="AS39" s="595"/>
      <c r="AT39" s="595"/>
      <c r="AU39" s="595"/>
      <c r="AV39" s="595"/>
      <c r="AW39" s="595"/>
      <c r="AX39" s="595"/>
    </row>
    <row r="40" spans="1:50" ht="13.5" customHeight="1" thickTop="1" x14ac:dyDescent="0.2">
      <c r="B40" s="784" t="s">
        <v>285</v>
      </c>
      <c r="C40" s="784"/>
      <c r="D40" s="784"/>
      <c r="E40" s="784"/>
      <c r="F40" s="3" t="s">
        <v>16</v>
      </c>
      <c r="G40" s="24">
        <v>4221713</v>
      </c>
      <c r="AE40" s="595"/>
      <c r="AF40" s="595"/>
      <c r="AG40" s="595"/>
      <c r="AH40" s="595"/>
      <c r="AI40" s="595"/>
      <c r="AJ40" s="595"/>
      <c r="AK40" s="595"/>
      <c r="AL40" s="595"/>
      <c r="AM40" s="595"/>
      <c r="AN40" s="595"/>
      <c r="AO40" s="595"/>
      <c r="AP40" s="595"/>
      <c r="AQ40" s="595"/>
      <c r="AR40" s="595"/>
      <c r="AS40" s="595"/>
      <c r="AT40" s="595"/>
      <c r="AU40" s="595"/>
      <c r="AV40" s="595"/>
      <c r="AW40" s="595"/>
      <c r="AX40" s="595"/>
    </row>
    <row r="41" spans="1:50" x14ac:dyDescent="0.2">
      <c r="B41" s="788" t="s">
        <v>286</v>
      </c>
      <c r="C41" s="788"/>
      <c r="D41" s="788"/>
      <c r="E41" s="788"/>
      <c r="F41" s="3" t="s">
        <v>16</v>
      </c>
      <c r="G41" s="224">
        <f>G39-G40</f>
        <v>37525189</v>
      </c>
      <c r="AE41" s="595"/>
      <c r="AF41" s="595"/>
      <c r="AG41" s="595"/>
      <c r="AH41" s="595"/>
      <c r="AI41" s="595"/>
      <c r="AJ41" s="595"/>
      <c r="AK41" s="595"/>
      <c r="AL41" s="595"/>
      <c r="AM41" s="595"/>
      <c r="AN41" s="595"/>
      <c r="AO41" s="595"/>
      <c r="AP41" s="595"/>
      <c r="AQ41" s="595"/>
      <c r="AR41" s="595"/>
      <c r="AS41" s="595"/>
      <c r="AT41" s="595"/>
      <c r="AU41" s="595"/>
      <c r="AV41" s="595"/>
      <c r="AW41" s="595"/>
      <c r="AX41" s="595"/>
    </row>
    <row r="42" spans="1:50" x14ac:dyDescent="0.2">
      <c r="AE42" s="595"/>
      <c r="AF42" s="595"/>
      <c r="AG42" s="595"/>
      <c r="AH42" s="595"/>
      <c r="AI42" s="595"/>
      <c r="AJ42" s="595"/>
      <c r="AK42" s="595"/>
      <c r="AL42" s="595"/>
      <c r="AM42" s="595"/>
      <c r="AN42" s="595"/>
      <c r="AO42" s="595"/>
      <c r="AP42" s="595"/>
      <c r="AQ42" s="595"/>
      <c r="AR42" s="595"/>
      <c r="AS42" s="595"/>
      <c r="AT42" s="595"/>
      <c r="AU42" s="595"/>
      <c r="AV42" s="595"/>
      <c r="AW42" s="595"/>
      <c r="AX42" s="595"/>
    </row>
    <row r="43" spans="1:50" x14ac:dyDescent="0.2">
      <c r="AE43" s="595"/>
      <c r="AF43" s="595"/>
      <c r="AG43" s="595"/>
      <c r="AH43" s="595"/>
      <c r="AI43" s="595"/>
      <c r="AJ43" s="595"/>
      <c r="AK43" s="595"/>
      <c r="AL43" s="595"/>
      <c r="AM43" s="595"/>
      <c r="AN43" s="595"/>
      <c r="AO43" s="595"/>
      <c r="AP43" s="595"/>
      <c r="AQ43" s="595"/>
      <c r="AR43" s="595"/>
      <c r="AS43" s="595"/>
      <c r="AT43" s="595"/>
      <c r="AU43" s="595"/>
      <c r="AV43" s="595"/>
      <c r="AW43" s="595"/>
      <c r="AX43" s="595"/>
    </row>
    <row r="44" spans="1:50" x14ac:dyDescent="0.2">
      <c r="A44" s="596"/>
      <c r="AE44" s="595"/>
      <c r="AF44" s="595"/>
      <c r="AG44" s="595"/>
      <c r="AH44" s="595"/>
      <c r="AI44" s="595"/>
      <c r="AJ44" s="595"/>
      <c r="AK44" s="595"/>
      <c r="AL44" s="595"/>
      <c r="AM44" s="595"/>
      <c r="AN44" s="595"/>
      <c r="AO44" s="595"/>
      <c r="AP44" s="595"/>
      <c r="AQ44" s="595"/>
      <c r="AR44" s="595"/>
      <c r="AS44" s="595"/>
      <c r="AT44" s="595"/>
      <c r="AU44" s="595"/>
      <c r="AV44" s="595"/>
      <c r="AW44" s="595"/>
      <c r="AX44" s="595"/>
    </row>
    <row r="45" spans="1:50" x14ac:dyDescent="0.2">
      <c r="AE45" s="595"/>
      <c r="AF45" s="595"/>
      <c r="AG45" s="595"/>
      <c r="AH45" s="595"/>
      <c r="AI45" s="595"/>
      <c r="AJ45" s="595"/>
      <c r="AK45" s="595"/>
      <c r="AL45" s="595"/>
      <c r="AM45" s="595"/>
      <c r="AN45" s="595"/>
      <c r="AO45" s="595"/>
      <c r="AP45" s="595"/>
      <c r="AQ45" s="595"/>
      <c r="AR45" s="595"/>
      <c r="AS45" s="595"/>
      <c r="AT45" s="595"/>
      <c r="AU45" s="595"/>
      <c r="AV45" s="595"/>
      <c r="AW45" s="595"/>
      <c r="AX45" s="595"/>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T18" sqref="T18"/>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19" width="8.83203125" customWidth="1"/>
    <col min="20" max="20" width="10.6640625" bestFit="1" customWidth="1"/>
    <col min="21" max="22" width="11" customWidth="1"/>
    <col min="23" max="23" width="3.83203125" customWidth="1"/>
    <col min="24" max="24" width="9.33203125" customWidth="1"/>
  </cols>
  <sheetData>
    <row r="1" spans="1:27" ht="12.75" customHeight="1" x14ac:dyDescent="0.2">
      <c r="A1" s="597" t="s">
        <v>0</v>
      </c>
      <c r="D1" s="735" t="str">
        <f>'Cover Page'!D1</f>
        <v>ASU Preparatory Academy - Digital</v>
      </c>
      <c r="E1" s="735"/>
      <c r="F1" s="735"/>
      <c r="G1" s="735"/>
      <c r="K1" s="59" t="s">
        <v>1</v>
      </c>
      <c r="L1" s="735" t="str">
        <f>'Cover Page'!M1</f>
        <v>Maricopa</v>
      </c>
      <c r="M1" s="735"/>
      <c r="P1" s="67"/>
      <c r="U1" s="59" t="s">
        <v>2</v>
      </c>
      <c r="V1" s="217" t="str">
        <f>'Cover Page'!R1</f>
        <v>078284000</v>
      </c>
    </row>
    <row r="2" spans="1:27" ht="12.75" customHeight="1" x14ac:dyDescent="0.2">
      <c r="Q2" s="67"/>
      <c r="T2" s="67"/>
    </row>
    <row r="3" spans="1:27" ht="12.75" customHeight="1" x14ac:dyDescent="0.2">
      <c r="A3" s="218" t="s">
        <v>287</v>
      </c>
      <c r="B3" s="67"/>
      <c r="C3" s="67"/>
      <c r="D3" s="67"/>
      <c r="E3" s="67"/>
      <c r="F3" s="67"/>
      <c r="G3" s="67"/>
      <c r="H3" s="67"/>
      <c r="I3" s="67"/>
      <c r="J3" s="67"/>
      <c r="K3" s="67"/>
      <c r="L3" s="67"/>
      <c r="M3" s="67"/>
      <c r="N3" s="67"/>
      <c r="O3" s="67"/>
      <c r="P3" s="67"/>
      <c r="Q3" s="67"/>
      <c r="R3" s="67"/>
      <c r="S3" s="67"/>
      <c r="T3" s="67"/>
      <c r="U3" s="67"/>
      <c r="Y3" s="59"/>
    </row>
    <row r="4" spans="1:27" ht="6" customHeight="1" x14ac:dyDescent="0.2"/>
    <row r="5" spans="1:27" ht="12.75" customHeight="1" x14ac:dyDescent="0.2">
      <c r="A5" t="s">
        <v>288</v>
      </c>
    </row>
    <row r="6" spans="1:27" ht="12.75" customHeight="1" x14ac:dyDescent="0.2">
      <c r="E6" s="750" t="s">
        <v>289</v>
      </c>
      <c r="F6" s="760"/>
      <c r="G6" s="760"/>
      <c r="H6" s="760"/>
      <c r="I6" s="760"/>
      <c r="J6" s="760"/>
      <c r="K6" s="760"/>
      <c r="L6" s="760"/>
      <c r="M6" s="760"/>
      <c r="N6" s="760"/>
      <c r="O6" s="760"/>
      <c r="P6" s="760"/>
      <c r="Q6" s="760"/>
      <c r="R6" s="751"/>
    </row>
    <row r="7" spans="1:27" ht="12.75" customHeight="1" x14ac:dyDescent="0.2">
      <c r="B7" t="s">
        <v>290</v>
      </c>
      <c r="E7" s="633" t="s">
        <v>291</v>
      </c>
      <c r="F7" s="633">
        <v>1</v>
      </c>
      <c r="G7" s="633">
        <v>2</v>
      </c>
      <c r="H7" s="633">
        <v>3</v>
      </c>
      <c r="I7" s="633">
        <v>4</v>
      </c>
      <c r="J7" s="633">
        <v>5</v>
      </c>
      <c r="K7" s="633">
        <v>6</v>
      </c>
      <c r="L7" s="633">
        <v>7</v>
      </c>
      <c r="M7" s="633">
        <v>8</v>
      </c>
      <c r="N7" s="633">
        <v>9</v>
      </c>
      <c r="O7" s="633">
        <v>10</v>
      </c>
      <c r="P7" s="633">
        <v>11</v>
      </c>
      <c r="Q7" s="633">
        <v>12</v>
      </c>
      <c r="R7" s="633" t="s">
        <v>292</v>
      </c>
      <c r="S7" s="615"/>
      <c r="T7" s="615"/>
      <c r="AA7" s="48"/>
    </row>
    <row r="8" spans="1:27" ht="12.75" customHeight="1" x14ac:dyDescent="0.2">
      <c r="B8" t="s">
        <v>293</v>
      </c>
      <c r="E8" s="49">
        <v>4</v>
      </c>
      <c r="F8" s="49">
        <v>9</v>
      </c>
      <c r="G8" s="49">
        <v>13</v>
      </c>
      <c r="H8" s="49">
        <v>9</v>
      </c>
      <c r="I8" s="49">
        <v>3</v>
      </c>
      <c r="J8" s="49">
        <v>12</v>
      </c>
      <c r="K8" s="49">
        <v>8</v>
      </c>
      <c r="L8" s="49">
        <v>0</v>
      </c>
      <c r="M8" s="49">
        <v>0</v>
      </c>
      <c r="N8" s="49">
        <v>0</v>
      </c>
      <c r="O8" s="49">
        <v>0</v>
      </c>
      <c r="P8" s="49">
        <v>0</v>
      </c>
      <c r="Q8" s="49">
        <v>0</v>
      </c>
      <c r="R8" s="600">
        <f>SUM(E8:Q8)</f>
        <v>58</v>
      </c>
      <c r="S8" s="253" t="s">
        <v>24</v>
      </c>
      <c r="AA8" s="48" t="str">
        <f>IF(OR(E8="",F8="",G8="",H8="",I8="",J8="",K8="",L8="",M8="",N8="",O8="",P8="",Q8="",E9="",F9="",G9="",H9="",I9="",J9="",K9="",L9="",M9="",N9="",O9="",P9="",Q9=""),"yes","")</f>
        <v/>
      </c>
    </row>
    <row r="9" spans="1:27" ht="12.75" customHeight="1" x14ac:dyDescent="0.2">
      <c r="B9" t="s">
        <v>294</v>
      </c>
      <c r="E9" s="49">
        <v>1</v>
      </c>
      <c r="F9" s="49">
        <v>3</v>
      </c>
      <c r="G9" s="49">
        <v>7</v>
      </c>
      <c r="H9" s="49">
        <v>3</v>
      </c>
      <c r="I9" s="49">
        <v>3</v>
      </c>
      <c r="J9" s="49">
        <v>12</v>
      </c>
      <c r="K9" s="49">
        <v>8</v>
      </c>
      <c r="L9" s="49">
        <v>0</v>
      </c>
      <c r="M9" s="49">
        <v>0</v>
      </c>
      <c r="N9" s="49">
        <v>0</v>
      </c>
      <c r="O9" s="49">
        <v>0</v>
      </c>
      <c r="P9" s="49">
        <v>0</v>
      </c>
      <c r="Q9" s="49">
        <v>0</v>
      </c>
      <c r="R9" s="600">
        <f>SUM(E9:Q9)</f>
        <v>37</v>
      </c>
      <c r="S9" s="253" t="s">
        <v>26</v>
      </c>
      <c r="AA9" s="48" t="str">
        <f>IF(OR(E10="",F10="",G10="",H10="",I10="",J10="",K10="",L10="",M10="",N10="",O10="",P10="",Q10=""),"yes","")</f>
        <v/>
      </c>
    </row>
    <row r="10" spans="1:27" ht="12.75" customHeight="1" thickBot="1" x14ac:dyDescent="0.25">
      <c r="B10" t="s">
        <v>295</v>
      </c>
      <c r="E10" s="53">
        <v>2</v>
      </c>
      <c r="F10" s="53">
        <v>8</v>
      </c>
      <c r="G10" s="53">
        <v>5</v>
      </c>
      <c r="H10" s="53">
        <v>5</v>
      </c>
      <c r="I10" s="53">
        <v>3</v>
      </c>
      <c r="J10" s="53">
        <v>9</v>
      </c>
      <c r="K10" s="53">
        <v>5</v>
      </c>
      <c r="L10" s="49">
        <v>0</v>
      </c>
      <c r="M10" s="49">
        <v>0</v>
      </c>
      <c r="N10" s="49">
        <v>0</v>
      </c>
      <c r="O10" s="49">
        <v>0</v>
      </c>
      <c r="P10" s="49">
        <v>0</v>
      </c>
      <c r="Q10" s="49">
        <v>0</v>
      </c>
      <c r="R10" s="234">
        <f>SUM(E10:Q10)</f>
        <v>37</v>
      </c>
      <c r="S10" s="253" t="s">
        <v>28</v>
      </c>
      <c r="AA10" s="48"/>
    </row>
    <row r="11" spans="1:27" ht="12.75" customHeight="1" x14ac:dyDescent="0.2">
      <c r="B11" t="s">
        <v>296</v>
      </c>
      <c r="E11" s="798">
        <f t="shared" ref="E11:Q11" si="0">SUM(E8:E10)</f>
        <v>7</v>
      </c>
      <c r="F11" s="798">
        <f t="shared" si="0"/>
        <v>20</v>
      </c>
      <c r="G11" s="798">
        <f t="shared" si="0"/>
        <v>25</v>
      </c>
      <c r="H11" s="798">
        <f t="shared" si="0"/>
        <v>17</v>
      </c>
      <c r="I11" s="798">
        <f t="shared" si="0"/>
        <v>9</v>
      </c>
      <c r="J11" s="798">
        <f t="shared" ref="J11" si="1">SUM(J8:J10)</f>
        <v>33</v>
      </c>
      <c r="K11" s="798">
        <f t="shared" si="0"/>
        <v>21</v>
      </c>
      <c r="L11" s="798">
        <f t="shared" si="0"/>
        <v>0</v>
      </c>
      <c r="M11" s="798">
        <f>SUM(M8:M10)</f>
        <v>0</v>
      </c>
      <c r="N11" s="798">
        <f t="shared" si="0"/>
        <v>0</v>
      </c>
      <c r="O11" s="798">
        <f t="shared" si="0"/>
        <v>0</v>
      </c>
      <c r="P11" s="798">
        <f t="shared" si="0"/>
        <v>0</v>
      </c>
      <c r="Q11" s="798">
        <f t="shared" si="0"/>
        <v>0</v>
      </c>
      <c r="R11" s="798">
        <f>SUM(E11:Q11)</f>
        <v>132</v>
      </c>
      <c r="S11" s="253"/>
      <c r="AA11" s="48" t="str">
        <f>IF(OR(D17="",D18="",T16="",T17="",T18="",T19="",T20="",T21="",T22="",T25=""),"yes","")</f>
        <v/>
      </c>
    </row>
    <row r="12" spans="1:27" ht="13.5" thickBot="1" x14ac:dyDescent="0.25">
      <c r="B12" t="s">
        <v>297</v>
      </c>
      <c r="E12" s="799"/>
      <c r="F12" s="799"/>
      <c r="G12" s="799"/>
      <c r="H12" s="799"/>
      <c r="I12" s="799"/>
      <c r="J12" s="799"/>
      <c r="K12" s="799"/>
      <c r="L12" s="799"/>
      <c r="M12" s="799"/>
      <c r="N12" s="799"/>
      <c r="O12" s="799"/>
      <c r="P12" s="799"/>
      <c r="Q12" s="799"/>
      <c r="R12" s="799"/>
      <c r="S12" s="253" t="s">
        <v>31</v>
      </c>
      <c r="AA12" s="48" t="str">
        <f>IF(AND(AA8="",AA9="",AA11=""),"","yes")</f>
        <v/>
      </c>
    </row>
    <row r="13" spans="1:27" ht="16.5" customHeight="1" thickTop="1" x14ac:dyDescent="0.2">
      <c r="AA13" s="48"/>
    </row>
    <row r="14" spans="1:27" ht="12.75" customHeight="1" x14ac:dyDescent="0.2">
      <c r="A14" s="800" t="s">
        <v>298</v>
      </c>
      <c r="B14" s="800"/>
      <c r="C14" s="800"/>
      <c r="D14" s="800"/>
      <c r="E14" s="800"/>
      <c r="G14" s="254"/>
      <c r="M14">
        <f>[3]!SEIP1071P260F2100</f>
        <v>0</v>
      </c>
      <c r="AA14" s="48"/>
    </row>
    <row r="15" spans="1:27" ht="38.25" customHeight="1" x14ac:dyDescent="0.2">
      <c r="A15" s="221"/>
      <c r="B15" s="802" t="s">
        <v>299</v>
      </c>
      <c r="C15" s="802"/>
      <c r="D15" s="802"/>
      <c r="E15" s="802"/>
      <c r="G15" s="255"/>
      <c r="K15" s="588" t="s">
        <v>300</v>
      </c>
      <c r="L15" s="588"/>
      <c r="M15" s="588"/>
      <c r="N15" s="588"/>
      <c r="O15" s="588"/>
      <c r="P15" s="588"/>
      <c r="Q15" s="588"/>
      <c r="R15" s="588"/>
      <c r="S15" s="256" t="s">
        <v>301</v>
      </c>
      <c r="T15" s="257" t="s">
        <v>302</v>
      </c>
      <c r="AA15" s="48"/>
    </row>
    <row r="16" spans="1:27" ht="12.75" customHeight="1" x14ac:dyDescent="0.2">
      <c r="B16" s="619" t="s">
        <v>303</v>
      </c>
      <c r="K16" s="64" t="s">
        <v>24</v>
      </c>
      <c r="L16" s="800" t="s">
        <v>304</v>
      </c>
      <c r="M16" s="800"/>
      <c r="N16" s="800"/>
      <c r="O16" s="800"/>
      <c r="P16" s="800"/>
      <c r="S16" s="598">
        <f>'[3]Page 2'!$N$5</f>
        <v>576598</v>
      </c>
      <c r="T16" s="51">
        <v>1082045</v>
      </c>
      <c r="U16" s="253" t="s">
        <v>24</v>
      </c>
    </row>
    <row r="17" spans="1:21" ht="12.75" customHeight="1" x14ac:dyDescent="0.2">
      <c r="B17" t="s">
        <v>305</v>
      </c>
      <c r="C17" s="3" t="s">
        <v>16</v>
      </c>
      <c r="D17" s="24">
        <v>39601</v>
      </c>
      <c r="K17" s="64" t="s">
        <v>26</v>
      </c>
      <c r="L17" s="800" t="s">
        <v>306</v>
      </c>
      <c r="M17" s="800"/>
      <c r="N17" s="800"/>
      <c r="O17" s="180"/>
      <c r="S17" s="598">
        <f>[3]!P200GiftedEducation</f>
        <v>0</v>
      </c>
      <c r="T17" s="51">
        <v>39722</v>
      </c>
      <c r="U17" s="253" t="s">
        <v>26</v>
      </c>
    </row>
    <row r="18" spans="1:21" ht="12.75" customHeight="1" x14ac:dyDescent="0.2">
      <c r="B18" s="253" t="s">
        <v>307</v>
      </c>
      <c r="C18" s="3" t="s">
        <v>16</v>
      </c>
      <c r="D18" s="25">
        <v>0</v>
      </c>
      <c r="K18" s="64" t="s">
        <v>28</v>
      </c>
      <c r="L18" t="s">
        <v>308</v>
      </c>
      <c r="S18" s="602">
        <f>[3]!P200ELLIncrementalCosts</f>
        <v>0</v>
      </c>
      <c r="T18" s="51">
        <v>0</v>
      </c>
      <c r="U18" s="253" t="s">
        <v>28</v>
      </c>
    </row>
    <row r="19" spans="1:21" ht="12.75" customHeight="1" thickBot="1" x14ac:dyDescent="0.25">
      <c r="B19" t="s">
        <v>309</v>
      </c>
      <c r="C19" s="3" t="s">
        <v>16</v>
      </c>
      <c r="D19" s="258">
        <f>SUM(D17:D18)</f>
        <v>39601</v>
      </c>
      <c r="E19" s="180"/>
      <c r="K19" s="64" t="s">
        <v>31</v>
      </c>
      <c r="L19" t="s">
        <v>310</v>
      </c>
      <c r="S19" s="598">
        <f>[3]!P200ELLCompensatoryInstruction</f>
        <v>0</v>
      </c>
      <c r="T19" s="51">
        <v>0</v>
      </c>
      <c r="U19" s="253" t="s">
        <v>31</v>
      </c>
    </row>
    <row r="20" spans="1:21" ht="12.75" customHeight="1" thickTop="1" x14ac:dyDescent="0.2">
      <c r="K20" s="64" t="s">
        <v>33</v>
      </c>
      <c r="L20" t="s">
        <v>311</v>
      </c>
      <c r="S20" s="598">
        <f>[3]!P200RemedialEducation</f>
        <v>0</v>
      </c>
      <c r="T20" s="51">
        <v>0</v>
      </c>
      <c r="U20" s="253" t="s">
        <v>33</v>
      </c>
    </row>
    <row r="21" spans="1:21" x14ac:dyDescent="0.2">
      <c r="K21" s="64" t="s">
        <v>35</v>
      </c>
      <c r="L21" t="s">
        <v>312</v>
      </c>
      <c r="S21" s="598">
        <f>[3]!P200VocationalandTechnologicalEd</f>
        <v>0</v>
      </c>
      <c r="T21" s="51">
        <v>0</v>
      </c>
      <c r="U21" s="253" t="s">
        <v>35</v>
      </c>
    </row>
    <row r="22" spans="1:21" ht="12" customHeight="1" thickBot="1" x14ac:dyDescent="0.25">
      <c r="K22" s="64" t="s">
        <v>37</v>
      </c>
      <c r="L22" t="s">
        <v>313</v>
      </c>
      <c r="S22" s="228">
        <f>[3]!P200CareerEducation</f>
        <v>0</v>
      </c>
      <c r="T22" s="54">
        <v>0</v>
      </c>
      <c r="U22" s="253" t="s">
        <v>37</v>
      </c>
    </row>
    <row r="23" spans="1:21" ht="12.75" customHeight="1" thickBot="1" x14ac:dyDescent="0.25">
      <c r="K23" s="64" t="s">
        <v>39</v>
      </c>
      <c r="L23" s="801" t="s">
        <v>314</v>
      </c>
      <c r="M23" s="801"/>
      <c r="N23" s="801"/>
      <c r="O23" s="801"/>
      <c r="P23" s="801"/>
      <c r="Q23" s="4"/>
      <c r="S23" s="259">
        <f>SUM(S16:S22)</f>
        <v>576598</v>
      </c>
      <c r="T23" s="259">
        <f>SUM(T16:T22)</f>
        <v>1121767</v>
      </c>
      <c r="U23" s="253" t="s">
        <v>39</v>
      </c>
    </row>
    <row r="24" spans="1:21" ht="12.75" customHeight="1" thickTop="1" x14ac:dyDescent="0.2">
      <c r="A24" s="3"/>
      <c r="B24" s="730"/>
      <c r="C24" s="730"/>
      <c r="D24" s="730"/>
      <c r="E24" s="730"/>
      <c r="F24" s="730"/>
      <c r="G24" s="730"/>
      <c r="H24" s="730"/>
      <c r="K24" s="64"/>
      <c r="U24" s="253"/>
    </row>
    <row r="25" spans="1:21" ht="12.75" customHeight="1" x14ac:dyDescent="0.2">
      <c r="A25" s="3"/>
      <c r="B25" s="730"/>
      <c r="C25" s="730"/>
      <c r="D25" s="730"/>
      <c r="E25" s="730"/>
      <c r="F25" s="730"/>
      <c r="G25" s="730"/>
      <c r="H25" s="730"/>
      <c r="K25" s="64" t="s">
        <v>41</v>
      </c>
      <c r="L25" s="805" t="s">
        <v>315</v>
      </c>
      <c r="M25" s="805"/>
      <c r="N25" s="805"/>
      <c r="O25" s="805"/>
      <c r="P25" s="805"/>
      <c r="Q25" s="805"/>
      <c r="R25" s="806"/>
      <c r="S25" s="803">
        <f>'[3]Page 2'!$N$14</f>
        <v>0</v>
      </c>
      <c r="T25" s="807">
        <v>0</v>
      </c>
      <c r="U25" s="253" t="s">
        <v>41</v>
      </c>
    </row>
    <row r="26" spans="1:21" ht="19.5" customHeight="1" thickBot="1" x14ac:dyDescent="0.25">
      <c r="A26" s="64"/>
      <c r="L26" s="805"/>
      <c r="M26" s="805"/>
      <c r="N26" s="805"/>
      <c r="O26" s="805"/>
      <c r="P26" s="805"/>
      <c r="Q26" s="805"/>
      <c r="R26" s="806"/>
      <c r="S26" s="804"/>
      <c r="T26" s="808"/>
    </row>
    <row r="31" spans="1:21" ht="12.75" customHeight="1" x14ac:dyDescent="0.2">
      <c r="B31" s="26"/>
      <c r="C31" s="26"/>
    </row>
  </sheetData>
  <sheetProtection formatCells="0" formatColumns="0" formatRows="0"/>
  <mergeCells count="27">
    <mergeCell ref="S25:S26"/>
    <mergeCell ref="L25:R26"/>
    <mergeCell ref="T25:T26"/>
    <mergeCell ref="Q11:Q12"/>
    <mergeCell ref="R11:R12"/>
    <mergeCell ref="B24:H24"/>
    <mergeCell ref="B25:H25"/>
    <mergeCell ref="L17:N17"/>
    <mergeCell ref="L23:P23"/>
    <mergeCell ref="A14:E14"/>
    <mergeCell ref="B15:E15"/>
    <mergeCell ref="L16:P16"/>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topLeftCell="A4" zoomScaleNormal="100" workbookViewId="0">
      <selection activeCell="F25" sqref="F25"/>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7" t="s">
        <v>0</v>
      </c>
      <c r="B1" s="735" t="str">
        <f>'Cover Page'!D1</f>
        <v>ASU Preparatory Academy - Digital</v>
      </c>
      <c r="C1" s="735"/>
      <c r="D1" s="735"/>
      <c r="G1" s="59" t="s">
        <v>1</v>
      </c>
      <c r="H1" s="735" t="str">
        <f>'Cover Page'!M1</f>
        <v>Maricopa</v>
      </c>
      <c r="I1" s="735"/>
      <c r="M1" s="59" t="s">
        <v>2</v>
      </c>
      <c r="N1" s="617" t="str">
        <f>'Cover Page'!R1</f>
        <v>078284000</v>
      </c>
    </row>
    <row r="3" spans="1:29" x14ac:dyDescent="0.2">
      <c r="A3" s="809" t="s">
        <v>316</v>
      </c>
      <c r="B3" s="809"/>
      <c r="C3" s="809"/>
      <c r="D3" s="810"/>
      <c r="E3" s="622" t="s">
        <v>193</v>
      </c>
      <c r="F3" s="682" t="s">
        <v>317</v>
      </c>
      <c r="G3" s="622"/>
      <c r="H3" s="622" t="s">
        <v>318</v>
      </c>
      <c r="I3" s="622"/>
      <c r="J3" s="187"/>
      <c r="K3" s="186"/>
      <c r="L3" s="186" t="s">
        <v>319</v>
      </c>
      <c r="M3" s="622" t="s">
        <v>320</v>
      </c>
      <c r="N3" s="622" t="s">
        <v>196</v>
      </c>
    </row>
    <row r="4" spans="1:29" x14ac:dyDescent="0.2">
      <c r="E4" s="80" t="s">
        <v>199</v>
      </c>
      <c r="F4" s="683" t="s">
        <v>193</v>
      </c>
      <c r="G4" s="80" t="s">
        <v>21</v>
      </c>
      <c r="H4" s="80" t="s">
        <v>321</v>
      </c>
      <c r="I4" s="80" t="s">
        <v>322</v>
      </c>
      <c r="J4" s="811" t="s">
        <v>92</v>
      </c>
      <c r="K4" s="812"/>
      <c r="L4" s="260" t="s">
        <v>323</v>
      </c>
      <c r="M4" s="80" t="s">
        <v>324</v>
      </c>
      <c r="N4" s="80" t="s">
        <v>199</v>
      </c>
      <c r="AA4" s="596"/>
      <c r="AB4" s="48"/>
      <c r="AC4" s="48"/>
    </row>
    <row r="5" spans="1:29" x14ac:dyDescent="0.2">
      <c r="A5" s="597" t="s">
        <v>325</v>
      </c>
      <c r="E5" s="85" t="s">
        <v>102</v>
      </c>
      <c r="F5" s="684" t="s">
        <v>494</v>
      </c>
      <c r="G5" s="85" t="s">
        <v>102</v>
      </c>
      <c r="H5" s="85" t="s">
        <v>102</v>
      </c>
      <c r="I5" s="85" t="s">
        <v>102</v>
      </c>
      <c r="J5" s="633" t="s">
        <v>101</v>
      </c>
      <c r="K5" s="633" t="s">
        <v>23</v>
      </c>
      <c r="L5" s="85" t="s">
        <v>326</v>
      </c>
      <c r="M5" s="85" t="s">
        <v>102</v>
      </c>
      <c r="N5" s="85" t="s">
        <v>102</v>
      </c>
      <c r="T5" s="596"/>
      <c r="AB5" s="48"/>
      <c r="AC5" s="48"/>
    </row>
    <row r="6" spans="1:29" x14ac:dyDescent="0.2">
      <c r="A6" t="s">
        <v>327</v>
      </c>
      <c r="D6" s="3" t="s">
        <v>24</v>
      </c>
      <c r="E6" s="598">
        <f>[4]!FP11001130EndBal</f>
        <v>0</v>
      </c>
      <c r="F6" s="51">
        <v>0</v>
      </c>
      <c r="G6" s="598">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26314</v>
      </c>
      <c r="H6" s="600">
        <f>SUMIFS('Accounting data'!$G$2:$G$37000,'Accounting data'!$H$2:$H$37000,"1100*",'Accounting data'!$K$2:$K$37000,"69*")</f>
        <v>1949</v>
      </c>
      <c r="I6" s="49">
        <v>0</v>
      </c>
      <c r="J6" s="598">
        <f>[3]!FP11001130TitleI</f>
        <v>0</v>
      </c>
      <c r="K6" s="600">
        <f>SUMIFS('Accounting data'!$G$2:$G$37000,'Accounting data'!$H$2:$H$37000,"1100*",'Accounting data'!$K$2:$K$37000,"6*")-SUMIFS('Accounting data'!$G$2:$G$37000,'Accounting data'!$H$2:$H$37000,"1100*",'Accounting data'!$K$2:$K$37000,"69*")-SUMIFS('Accounting data'!$G$2:$G$37000,'Accounting data'!$H$2:$H$37000,"1100*",'Accounting data'!$K$2:$K$37000,"67*")</f>
        <v>24365</v>
      </c>
      <c r="L6" s="261"/>
      <c r="M6" s="49">
        <v>0</v>
      </c>
      <c r="N6" s="600">
        <f>SUM(IF(F6="",E6,F6)+G6-H6-I6-K6-M6)</f>
        <v>0</v>
      </c>
      <c r="O6" s="227" t="s">
        <v>24</v>
      </c>
      <c r="P6" s="26"/>
      <c r="AB6" s="48"/>
      <c r="AC6" s="48" t="str">
        <f>IF(OR(I6="",I7="",I8="",I9="",I10="",I11="",I12="",I13="",I14="",I15="",I16="",I17="",I18="",I19="",I20="",I21="",I22=""),"yes","")</f>
        <v/>
      </c>
    </row>
    <row r="7" spans="1:29" x14ac:dyDescent="0.2">
      <c r="A7" t="s">
        <v>328</v>
      </c>
      <c r="D7" s="3" t="s">
        <v>26</v>
      </c>
      <c r="E7" s="598">
        <f>[4]!FP11401150EndBal</f>
        <v>0</v>
      </c>
      <c r="F7" s="51">
        <v>0</v>
      </c>
      <c r="G7" s="598">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600">
        <f>SUMIFS('Accounting data'!$G$2:$G$37000,'Accounting data'!$H$2:$H$37000,"1140*",'Accounting data'!$K$2:$K$37000,"69*")</f>
        <v>0</v>
      </c>
      <c r="I7" s="49">
        <v>0</v>
      </c>
      <c r="J7" s="598">
        <f>[3]!FP11401150TitleII</f>
        <v>0</v>
      </c>
      <c r="K7" s="600">
        <f>SUMIFS('Accounting data'!$G$2:$G$37000,'Accounting data'!$H$2:$H$37000,"1140*",'Accounting data'!$K$2:$K$37000,"6*")-SUMIFS('Accounting data'!$G$2:$G$37000,'Accounting data'!$H$2:$H$37000,"1140*",'Accounting data'!$K$2:$K$37000,"69*")-SUMIFS('Accounting data'!$G$2:$G$37000,'Accounting data'!$H$2:$H$37000,"1140*",'Accounting data'!$K$2:$K$37000,"67*")</f>
        <v>0</v>
      </c>
      <c r="L7" s="261"/>
      <c r="M7" s="49">
        <v>0</v>
      </c>
      <c r="N7" s="600">
        <f>SUM(IF(F7="",E7,F7)+G7-H7-I7-K7-M7)</f>
        <v>0</v>
      </c>
      <c r="O7" t="s">
        <v>26</v>
      </c>
      <c r="AB7" s="48"/>
      <c r="AC7" s="48" t="str">
        <f>IF(OR(M6="",M7="",M8="",M9="",M10="",M11="",M12="",M13="",M14="",M15="",M16="",M17="",M18="",M19="",M20="",M21="",M22=""),"yes","")</f>
        <v/>
      </c>
    </row>
    <row r="8" spans="1:29" x14ac:dyDescent="0.2">
      <c r="A8" t="s">
        <v>329</v>
      </c>
      <c r="D8" s="3" t="s">
        <v>28</v>
      </c>
      <c r="E8" s="598">
        <f>[4]!FP1160EndBal</f>
        <v>0</v>
      </c>
      <c r="F8" s="51">
        <v>0</v>
      </c>
      <c r="G8" s="598">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600">
        <f>SUMIFS('Accounting data'!$G$2:$G$37000,'Accounting data'!$H$2:$H$37000,"1160*",'Accounting data'!$K$2:$K$37000,"69*")</f>
        <v>0</v>
      </c>
      <c r="I8" s="49">
        <v>0</v>
      </c>
      <c r="J8" s="598">
        <f>[3]!FP1160TitleIV</f>
        <v>0</v>
      </c>
      <c r="K8" s="600">
        <f>SUMIFS('Accounting data'!$G$2:$G$37000,'Accounting data'!$H$2:$H$37000,"1160*",'Accounting data'!$K$2:$K$37000,"6*")-SUMIFS('Accounting data'!$G$2:$G$37000,'Accounting data'!$H$2:$H$37000,"1160*",'Accounting data'!$K$2:$K$37000,"69*")-SUMIFS('Accounting data'!$G$2:$G$37000,'Accounting data'!$H$2:$H$37000,"1160*",'Accounting data'!$K$2:$K$37000,"67*")</f>
        <v>0</v>
      </c>
      <c r="L8" s="261"/>
      <c r="M8" s="49">
        <v>0</v>
      </c>
      <c r="N8" s="600">
        <f t="shared" ref="N8:N21" si="0">SUM(IF(F8="",E8,F8)+G8-H8-I8-K8-M8)</f>
        <v>0</v>
      </c>
      <c r="O8" t="s">
        <v>28</v>
      </c>
      <c r="AB8" s="48"/>
      <c r="AC8" s="48" t="str">
        <f>IF(OR(I25="",J25="",M25=""),"yes","")</f>
        <v>yes</v>
      </c>
    </row>
    <row r="9" spans="1:29" x14ac:dyDescent="0.2">
      <c r="A9" t="s">
        <v>330</v>
      </c>
      <c r="D9" s="3" t="s">
        <v>31</v>
      </c>
      <c r="E9" s="598">
        <f>[4]!FP11701180EndBal</f>
        <v>0</v>
      </c>
      <c r="F9" s="51">
        <v>0</v>
      </c>
      <c r="G9" s="598">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600">
        <f>SUMIFS('Accounting data'!$G$2:$G$37000,'Accounting data'!$H$2:$H$37000,"1170*",'Accounting data'!$K$2:$K$37000,"69*")</f>
        <v>0</v>
      </c>
      <c r="I9" s="49">
        <v>0</v>
      </c>
      <c r="J9" s="598">
        <f>[3]!FP11701180TitleV</f>
        <v>0</v>
      </c>
      <c r="K9" s="600">
        <f>SUMIFS('Accounting data'!$G$2:$G$37000,'Accounting data'!$H$2:$H$37000,"1170*",'Accounting data'!$K$2:$K$37000,"6*")-SUMIFS('Accounting data'!$G$2:$G$37000,'Accounting data'!$H$2:$H$37000,"1170*",'Accounting data'!$K$2:$K$37000,"69*")-SUMIFS('Accounting data'!$G$2:$G$37000,'Accounting data'!$H$2:$H$37000,"1170*",'Accounting data'!$K$2:$K$37000,"67*")</f>
        <v>0</v>
      </c>
      <c r="L9" s="261"/>
      <c r="M9" s="49">
        <v>0</v>
      </c>
      <c r="N9" s="600">
        <f t="shared" si="0"/>
        <v>0</v>
      </c>
      <c r="O9" t="s">
        <v>31</v>
      </c>
      <c r="AB9" s="48"/>
      <c r="AC9" s="48" t="str">
        <f>IF(OR(I28="",I29="",I30="",I31="",I32="",I33="",I34="",I35="",I36="",I37="",I38="",I39=""),"yes","")</f>
        <v/>
      </c>
    </row>
    <row r="10" spans="1:29" x14ac:dyDescent="0.2">
      <c r="A10" t="s">
        <v>331</v>
      </c>
      <c r="D10" s="3" t="s">
        <v>33</v>
      </c>
      <c r="E10" s="598">
        <f>[4]!FP1190EndBal</f>
        <v>0</v>
      </c>
      <c r="F10" s="51">
        <v>0</v>
      </c>
      <c r="G10" s="598">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2476</v>
      </c>
      <c r="H10" s="600">
        <f>SUMIFS('Accounting data'!$G$2:$G$37000,'Accounting data'!$H$2:$H$37000,"1190*",'Accounting data'!$K$2:$K$37000,"69*")</f>
        <v>76</v>
      </c>
      <c r="I10" s="49">
        <v>0</v>
      </c>
      <c r="J10" s="598">
        <f>[3]!FP1190TitleIII</f>
        <v>0</v>
      </c>
      <c r="K10" s="600">
        <f>SUMIFS('Accounting data'!$G$2:$G$37000,'Accounting data'!$H$2:$H$37000,"1190*",'Accounting data'!$K$2:$K$37000,"6*")-SUMIFS('Accounting data'!$G$2:$G$37000,'Accounting data'!$H$2:$H$37000,"1190*",'Accounting data'!$K$2:$K$37000,"69*")-SUMIFS('Accounting data'!$G$2:$G$37000,'Accounting data'!$H$2:$H$37000,"1190*",'Accounting data'!$K$2:$K$37000,"67*")</f>
        <v>2400</v>
      </c>
      <c r="L10" s="261"/>
      <c r="M10" s="49">
        <v>0</v>
      </c>
      <c r="N10" s="600">
        <f t="shared" si="0"/>
        <v>0</v>
      </c>
      <c r="O10" t="s">
        <v>33</v>
      </c>
      <c r="AB10" s="48"/>
      <c r="AC10" s="48" t="str">
        <f>IF(OR(M28="",M29="",M30="",M31="",M32="",M33="",M34="",M35="",M36="",M37="",M38="",M39=""),"yes","")</f>
        <v/>
      </c>
    </row>
    <row r="11" spans="1:29" x14ac:dyDescent="0.2">
      <c r="A11" t="s">
        <v>332</v>
      </c>
      <c r="D11" s="3" t="s">
        <v>35</v>
      </c>
      <c r="E11" s="598">
        <f>[4]!FP1200EndBal</f>
        <v>0</v>
      </c>
      <c r="F11" s="51">
        <v>0</v>
      </c>
      <c r="G11" s="598">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600">
        <f>SUMIFS('Accounting data'!$G$2:$G$37000,'Accounting data'!$H$2:$H$37000,"1200*",'Accounting data'!$K$2:$K$37000,"69*")</f>
        <v>0</v>
      </c>
      <c r="I11" s="49">
        <v>0</v>
      </c>
      <c r="J11" s="598">
        <f>[3]!FP1200TitleVII</f>
        <v>0</v>
      </c>
      <c r="K11" s="600">
        <f>SUMIFS('Accounting data'!$G$2:$G$37000,'Accounting data'!$H$2:$H$37000,"1200*",'Accounting data'!$K$2:$K$37000,"6*")-SUMIFS('Accounting data'!$G$2:$G$37000,'Accounting data'!$H$2:$H$37000,"1200*",'Accounting data'!$K$2:$K$37000,"69*")-SUMIFS('Accounting data'!$G$2:$G$37000,'Accounting data'!$H$2:$H$37000,"1200*",'Accounting data'!$K$2:$K$37000,"67*")</f>
        <v>0</v>
      </c>
      <c r="L11" s="261"/>
      <c r="M11" s="49">
        <v>0</v>
      </c>
      <c r="N11" s="600">
        <f t="shared" si="0"/>
        <v>0</v>
      </c>
      <c r="O11" t="s">
        <v>35</v>
      </c>
      <c r="AB11" s="48"/>
      <c r="AC11" s="48" t="str">
        <f>IF(AND(AC6="",AC8="",AC9="",AC7="",AC10=""),"","yes")</f>
        <v>yes</v>
      </c>
    </row>
    <row r="12" spans="1:29" x14ac:dyDescent="0.2">
      <c r="A12" t="s">
        <v>333</v>
      </c>
      <c r="D12" s="3" t="s">
        <v>37</v>
      </c>
      <c r="E12" s="598">
        <f>[4]!FP1210EndBal</f>
        <v>0</v>
      </c>
      <c r="F12" s="51">
        <v>0</v>
      </c>
      <c r="G12" s="598">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600">
        <f>SUMIFS('Accounting data'!$G$2:$G$37000,'Accounting data'!$H$2:$H$37000,"1210*",'Accounting data'!$K$2:$K$37000,"69*")</f>
        <v>0</v>
      </c>
      <c r="I12" s="49">
        <v>0</v>
      </c>
      <c r="J12" s="598">
        <f>[3]!FP1210TitleVI</f>
        <v>0</v>
      </c>
      <c r="K12" s="600">
        <f>SUMIFS('Accounting data'!$G$2:$G$37000,'Accounting data'!$H$2:$H$37000,"1210*",'Accounting data'!$K$2:$K$37000,"6*")-SUMIFS('Accounting data'!$G$2:$G$37000,'Accounting data'!$H$2:$H$37000,"1210*",'Accounting data'!$K$2:$K$37000,"69*")-SUMIFS('Accounting data'!$G$2:$G$37000,'Accounting data'!$H$2:$H$37000,"1210*",'Accounting data'!$K$2:$K$37000,"67*")</f>
        <v>0</v>
      </c>
      <c r="L12" s="261"/>
      <c r="M12" s="49">
        <v>0</v>
      </c>
      <c r="N12" s="600">
        <f t="shared" si="0"/>
        <v>0</v>
      </c>
      <c r="O12" t="s">
        <v>37</v>
      </c>
      <c r="AB12" s="48"/>
      <c r="AC12" s="48"/>
    </row>
    <row r="13" spans="1:29" x14ac:dyDescent="0.2">
      <c r="A13" t="s">
        <v>334</v>
      </c>
      <c r="D13" s="3" t="s">
        <v>39</v>
      </c>
      <c r="E13" s="598">
        <f>[4]!FP1220EndBal</f>
        <v>1</v>
      </c>
      <c r="F13" s="51">
        <v>-504</v>
      </c>
      <c r="G13" s="598">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556351</v>
      </c>
      <c r="H13" s="598">
        <f>SUMIFS('Accounting data'!$G$2:$G$37000,'Accounting data'!$H$2:$H$37000,"122*",'Accounting data'!$K$2:$K$37000,"69*")</f>
        <v>40707</v>
      </c>
      <c r="I13" s="49">
        <v>0</v>
      </c>
      <c r="J13" s="598">
        <f>[3]!FP1220IDEA</f>
        <v>376596</v>
      </c>
      <c r="K13" s="600">
        <f>SUMIFS('Accounting data'!$G$2:$G$37000,'Accounting data'!$H$2:$H$37000,"122*",'Accounting data'!$K$2:$K$37000,"6*")-SUMIFS('Accounting data'!$G$2:$G$37000,'Accounting data'!$H$2:$H$37000,"122*",'Accounting data'!$K$2:$K$37000,"69*")-SUMIFS('Accounting data'!$G$2:$G$37000,'Accounting data'!$H$2:$H$37000,"122*",'Accounting data'!$K$2:$K$37000,"67*")</f>
        <v>515140</v>
      </c>
      <c r="L13" s="261"/>
      <c r="M13" s="49">
        <v>0</v>
      </c>
      <c r="N13" s="600">
        <f>SUM(IF(F13="",E13,F13)+G13-H13-I13-K13-M13)</f>
        <v>0</v>
      </c>
      <c r="O13" t="s">
        <v>39</v>
      </c>
      <c r="AB13" s="48"/>
      <c r="AC13" s="48"/>
    </row>
    <row r="14" spans="1:29" x14ac:dyDescent="0.2">
      <c r="A14" t="s">
        <v>335</v>
      </c>
      <c r="D14" s="3" t="s">
        <v>41</v>
      </c>
      <c r="E14" s="598">
        <f>[4]!FP1230EndBal</f>
        <v>0</v>
      </c>
      <c r="F14" s="51">
        <v>0</v>
      </c>
      <c r="G14" s="598">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600">
        <f>SUMIFS('Accounting data'!$G$2:$G$37000,'Accounting data'!$H$2:$H$37000,"1230*",'Accounting data'!$K$2:$K$37000,"69*")</f>
        <v>0</v>
      </c>
      <c r="I14" s="49">
        <v>0</v>
      </c>
      <c r="J14" s="598">
        <f>[3]!FP1230Johnson</f>
        <v>0</v>
      </c>
      <c r="K14" s="600">
        <f>SUMIFS('Accounting data'!$G$2:$G$37000,'Accounting data'!$H$2:$H$37000,"1230*",'Accounting data'!$K$2:$K$37000,"6*")-SUMIFS('Accounting data'!$G$2:$G$37000,'Accounting data'!$H$2:$H$37000,"1230*",'Accounting data'!$K$2:$K$37000,"69*")-SUMIFS('Accounting data'!$G$2:$G$37000,'Accounting data'!$H$2:$H$37000,"1230*",'Accounting data'!$K$2:$K$37000,"67*")</f>
        <v>0</v>
      </c>
      <c r="L14" s="261"/>
      <c r="M14" s="49">
        <v>0</v>
      </c>
      <c r="N14" s="600">
        <f t="shared" si="0"/>
        <v>0</v>
      </c>
      <c r="O14" t="s">
        <v>41</v>
      </c>
      <c r="AB14" s="48"/>
      <c r="AC14" s="48"/>
    </row>
    <row r="15" spans="1:29" x14ac:dyDescent="0.2">
      <c r="A15" t="s">
        <v>336</v>
      </c>
      <c r="D15" s="3" t="s">
        <v>43</v>
      </c>
      <c r="E15" s="598">
        <f>[4]!FP1240EndBal</f>
        <v>0</v>
      </c>
      <c r="F15" s="51">
        <v>0</v>
      </c>
      <c r="G15" s="598">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600">
        <f>SUMIFS('Accounting data'!$G$2:$G$37000,'Accounting data'!$H$2:$H$37000,"1240*",'Accounting data'!$K$2:$K$37000,"69*")</f>
        <v>0</v>
      </c>
      <c r="I15" s="49">
        <v>0</v>
      </c>
      <c r="J15" s="598">
        <f>[3]!FP1240WIA</f>
        <v>0</v>
      </c>
      <c r="K15" s="600">
        <f>SUMIFS('Accounting data'!$G$2:$G$37000,'Accounting data'!$H$2:$H$37000,"1240*",'Accounting data'!$K$2:$K$37000,"6*")-SUMIFS('Accounting data'!$G$2:$G$37000,'Accounting data'!$H$2:$H$37000,"1240*",'Accounting data'!$K$2:$K$37000,"69*")-SUMIFS('Accounting data'!$G$2:$G$37000,'Accounting data'!$H$2:$H$37000,"1240*",'Accounting data'!$K$2:$K$37000,"67*")</f>
        <v>0</v>
      </c>
      <c r="L15" s="261"/>
      <c r="M15" s="49">
        <v>0</v>
      </c>
      <c r="N15" s="600">
        <f t="shared" si="0"/>
        <v>0</v>
      </c>
      <c r="O15" t="s">
        <v>43</v>
      </c>
      <c r="AB15" s="48"/>
      <c r="AC15" s="48"/>
    </row>
    <row r="16" spans="1:29" x14ac:dyDescent="0.2">
      <c r="A16" t="s">
        <v>337</v>
      </c>
      <c r="D16" s="3" t="s">
        <v>45</v>
      </c>
      <c r="E16" s="598">
        <f>[4]!FP1250EndBal</f>
        <v>0</v>
      </c>
      <c r="F16" s="51">
        <v>0</v>
      </c>
      <c r="G16" s="598">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600">
        <f>SUMIFS('Accounting data'!$G$2:$G$37000,'Accounting data'!$H$2:$H$37000,"1250*",'Accounting data'!$K$2:$K$37000,"69*")</f>
        <v>0</v>
      </c>
      <c r="I16" s="49">
        <v>0</v>
      </c>
      <c r="J16" s="598">
        <f>[3]!FP1250AEA</f>
        <v>0</v>
      </c>
      <c r="K16" s="600">
        <f>SUMIFS('Accounting data'!$G$2:$G$37000,'Accounting data'!$H$2:$H$37000,"1250*",'Accounting data'!$K$2:$K$37000,"6*")-SUMIFS('Accounting data'!$G$2:$G$37000,'Accounting data'!$H$2:$H$37000,"1250*",'Accounting data'!$K$2:$K$37000,"69*")-SUMIFS('Accounting data'!$G$2:$G$37000,'Accounting data'!$H$2:$H$37000,"1250*",'Accounting data'!$K$2:$K$37000,"67*")</f>
        <v>0</v>
      </c>
      <c r="L16" s="261"/>
      <c r="M16" s="49">
        <v>0</v>
      </c>
      <c r="N16" s="600">
        <f t="shared" si="0"/>
        <v>0</v>
      </c>
      <c r="O16" t="s">
        <v>45</v>
      </c>
      <c r="AB16" s="48"/>
      <c r="AC16" s="48"/>
    </row>
    <row r="17" spans="1:29" x14ac:dyDescent="0.2">
      <c r="A17" t="s">
        <v>338</v>
      </c>
      <c r="D17" s="3" t="s">
        <v>47</v>
      </c>
      <c r="E17" s="598">
        <f>[4]!FP1260EndBal</f>
        <v>0</v>
      </c>
      <c r="F17" s="51">
        <v>0</v>
      </c>
      <c r="G17" s="598">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600">
        <f>SUMIFS('Accounting data'!$G$2:$G$37000,'Accounting data'!$H$2:$H$37000,"1260*",'Accounting data'!$K$2:$K$37000,"69*")</f>
        <v>0</v>
      </c>
      <c r="I17" s="49">
        <v>0</v>
      </c>
      <c r="J17" s="598">
        <f>[3]!FP12601270VocEd</f>
        <v>0</v>
      </c>
      <c r="K17" s="600">
        <f>SUMIFS('Accounting data'!$G$2:$G$37000,'Accounting data'!$H$2:$H$37000,"1260*",'Accounting data'!$K$2:$K$37000,"6*")-SUMIFS('Accounting data'!$G$2:$G$37000,'Accounting data'!$H$2:$H$37000,"1260*",'Accounting data'!$K$2:$K$37000,"69*")-SUMIFS('Accounting data'!$G$2:$G$37000,'Accounting data'!$H$2:$H$37000,"1260*",'Accounting data'!$K$2:$K$37000,"67*")</f>
        <v>0</v>
      </c>
      <c r="L17" s="261"/>
      <c r="M17" s="49">
        <v>0</v>
      </c>
      <c r="N17" s="600">
        <f t="shared" si="0"/>
        <v>0</v>
      </c>
      <c r="O17" t="s">
        <v>47</v>
      </c>
      <c r="AB17" s="48"/>
      <c r="AC17" s="48"/>
    </row>
    <row r="18" spans="1:29" x14ac:dyDescent="0.2">
      <c r="A18" t="s">
        <v>339</v>
      </c>
      <c r="D18" s="3" t="s">
        <v>49</v>
      </c>
      <c r="E18" s="598">
        <f>[4]!FP1280EndBal</f>
        <v>0</v>
      </c>
      <c r="F18" s="51">
        <v>0</v>
      </c>
      <c r="G18" s="598">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600">
        <f>SUMIFS('Accounting data'!$G$2:$G$37000,'Accounting data'!$H$2:$H$37000,"1280*",'Accounting data'!$K$2:$K$37000,"69*")</f>
        <v>0</v>
      </c>
      <c r="I18" s="49">
        <v>0</v>
      </c>
      <c r="J18" s="598">
        <f>[3]!FP1280TitleX</f>
        <v>0</v>
      </c>
      <c r="K18" s="600">
        <f>SUMIFS('Accounting data'!$G$2:$G$37000,'Accounting data'!$H$2:$H$37000,"1280*",'Accounting data'!$K$2:$K$37000,"6*")-SUMIFS('Accounting data'!$G$2:$G$37000,'Accounting data'!$H$2:$H$37000,"1280*",'Accounting data'!$K$2:$K$37000,"69*")-SUMIFS('Accounting data'!$G$2:$G$37000,'Accounting data'!$H$2:$H$37000,"1280*",'Accounting data'!$K$2:$K$37000,"67*")</f>
        <v>0</v>
      </c>
      <c r="L18" s="261"/>
      <c r="M18" s="49">
        <v>0</v>
      </c>
      <c r="N18" s="600">
        <f t="shared" si="0"/>
        <v>0</v>
      </c>
      <c r="O18" t="s">
        <v>49</v>
      </c>
      <c r="P18" s="596"/>
    </row>
    <row r="19" spans="1:29" x14ac:dyDescent="0.2">
      <c r="A19" t="s">
        <v>340</v>
      </c>
      <c r="D19" s="3" t="s">
        <v>51</v>
      </c>
      <c r="E19" s="598">
        <f>[4]!FP1290EndBal</f>
        <v>0</v>
      </c>
      <c r="F19" s="51">
        <v>0</v>
      </c>
      <c r="G19" s="598">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600">
        <f>SUMIFS('Accounting data'!$G$2:$G$37000,'Accounting data'!$H$2:$H$37000,"1290*",'Accounting data'!$K$2:$K$37000,"69*")</f>
        <v>0</v>
      </c>
      <c r="I19" s="49">
        <v>0</v>
      </c>
      <c r="J19" s="598">
        <f>[3]!FP1290Medicaid</f>
        <v>0</v>
      </c>
      <c r="K19" s="600">
        <f>SUMIFS('Accounting data'!$G$2:$G$37000,'Accounting data'!$H$2:$H$37000,"1290*",'Accounting data'!$K$2:$K$37000,"6*")-SUMIFS('Accounting data'!$G$2:$G$37000,'Accounting data'!$H$2:$H$37000,"1290*",'Accounting data'!$K$2:$K$37000,"69*")-SUMIFS('Accounting data'!$G$2:$G$37000,'Accounting data'!$H$2:$H$37000,"1290*",'Accounting data'!$K$2:$K$37000,"67*")</f>
        <v>0</v>
      </c>
      <c r="L19" s="261"/>
      <c r="M19" s="49">
        <v>0</v>
      </c>
      <c r="N19" s="600">
        <f t="shared" si="0"/>
        <v>0</v>
      </c>
      <c r="O19" t="s">
        <v>51</v>
      </c>
      <c r="P19" s="117"/>
      <c r="Q19" s="117"/>
      <c r="S19" s="26"/>
    </row>
    <row r="20" spans="1:29" x14ac:dyDescent="0.2">
      <c r="A20" t="s">
        <v>341</v>
      </c>
      <c r="D20" s="64" t="s">
        <v>53</v>
      </c>
      <c r="E20" s="598">
        <f>[4]!FP1300EndBal</f>
        <v>0</v>
      </c>
      <c r="F20" s="51">
        <v>0</v>
      </c>
      <c r="G20" s="598">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600">
        <f>SUMIFS('Accounting data'!$G$2:$G$37000,'Accounting data'!$H$2:$H$37000,"1300*",'Accounting data'!$K$2:$K$37000,"69*")</f>
        <v>0</v>
      </c>
      <c r="I20" s="49">
        <v>0</v>
      </c>
      <c r="J20" s="598">
        <f>[3]!FP1300Charter</f>
        <v>0</v>
      </c>
      <c r="K20" s="600">
        <f>SUMIFS('Accounting data'!$G$2:$G$37000,'Accounting data'!$H$2:$H$37000,"1300*",'Accounting data'!$K$2:$K$37000,"6*")-SUMIFS('Accounting data'!$G$2:$G$37000,'Accounting data'!$H$2:$H$37000,"1300*",'Accounting data'!$K$2:$K$37000,"69*")-SUMIFS('Accounting data'!$G$2:$G$37000,'Accounting data'!$H$2:$H$37000,"1300*",'Accounting data'!$K$2:$K$37000,"67*")</f>
        <v>0</v>
      </c>
      <c r="L20" s="261"/>
      <c r="M20" s="49">
        <v>0</v>
      </c>
      <c r="N20" s="600">
        <f t="shared" si="0"/>
        <v>0</v>
      </c>
      <c r="O20" s="253" t="s">
        <v>53</v>
      </c>
      <c r="P20" s="117"/>
      <c r="Q20" s="117"/>
      <c r="S20" s="26"/>
    </row>
    <row r="21" spans="1:29" x14ac:dyDescent="0.2">
      <c r="A21" s="221" t="s">
        <v>342</v>
      </c>
      <c r="B21" s="221"/>
      <c r="C21" s="221"/>
      <c r="D21" s="68" t="s">
        <v>55</v>
      </c>
      <c r="E21" s="598">
        <f>'[4]Page 8'!$M$21</f>
        <v>0</v>
      </c>
      <c r="F21" s="51">
        <v>0</v>
      </c>
      <c r="G21" s="598">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600">
        <f>SUMIFS('Accounting data'!$G$2:$G$37000,'Accounting data'!$H$2:$H$37000,"13XX*",'Accounting data'!$K$2:$K$37000,"69*")</f>
        <v>0</v>
      </c>
      <c r="I21" s="49">
        <v>0</v>
      </c>
      <c r="J21" s="598">
        <f>[3]!FP13__ImpactAid</f>
        <v>0</v>
      </c>
      <c r="K21" s="600">
        <f>SUMIFS('Accounting data'!$G$2:$G$37000,'Accounting data'!$H$2:$H$37000,"13XX*",'Accounting data'!$K$2:$K$37000,"6*")-SUMIFS('Accounting data'!$G$2:$G$37000,'Accounting data'!$H$2:$H$37000,"13XX*",'Accounting data'!$K$2:$K$37000,"69*")-SUMIFS('Accounting data'!$G$2:$G$37000,'Accounting data'!$H$2:$H$37000,"13XX*",'Accounting data'!$K$2:$K$37000,"67*")</f>
        <v>0</v>
      </c>
      <c r="L21" s="261"/>
      <c r="M21" s="49">
        <v>0</v>
      </c>
      <c r="N21" s="600">
        <f t="shared" si="0"/>
        <v>0</v>
      </c>
      <c r="O21" s="253" t="s">
        <v>55</v>
      </c>
      <c r="P21" s="117"/>
      <c r="Q21" s="117"/>
      <c r="S21" s="26"/>
    </row>
    <row r="22" spans="1:29" ht="13.5" thickBot="1" x14ac:dyDescent="0.25">
      <c r="A22" s="221" t="s">
        <v>343</v>
      </c>
      <c r="B22" s="221"/>
      <c r="C22" s="221"/>
      <c r="D22" s="64" t="s">
        <v>57</v>
      </c>
      <c r="E22" s="228">
        <f>[4]!FP13101399EndBal</f>
        <v>491410</v>
      </c>
      <c r="F22" s="54">
        <v>108166</v>
      </c>
      <c r="G22" s="228">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3709779</v>
      </c>
      <c r="H22" s="234">
        <f>SUMIFS('Accounting data'!$G$2:$G$37000,'Accounting data'!$H$2:$H$37000,"1310*",'Accounting data'!$K$2:$K$37000,"69*")</f>
        <v>10</v>
      </c>
      <c r="I22" s="49">
        <v>0</v>
      </c>
      <c r="J22" s="228">
        <f>[3]!FP13101399Other</f>
        <v>130715</v>
      </c>
      <c r="K22" s="234">
        <f>SUMIFS('Accounting data'!$G$2:$G$37000,'Accounting data'!$H$2:$H$37000,"1310*",'Accounting data'!$K$2:$K$37000,"6*")-SUMIFS('Accounting data'!$G$2:$G$37000,'Accounting data'!$H$2:$H$37000,"1310*",'Accounting data'!$K$2:$K$37000,"69*")-SUMIFS('Accounting data'!$G$2:$G$37000,'Accounting data'!$H$2:$H$37000,"1310*",'Accounting data'!$K$2:$K$37000,"67*")</f>
        <v>3709769</v>
      </c>
      <c r="L22" s="53">
        <v>0</v>
      </c>
      <c r="M22" s="49">
        <v>0</v>
      </c>
      <c r="N22" s="600">
        <f>SUM(IF(F22="",E22,F22)+G22-H22-I22-K22-M22-L22)</f>
        <v>108166</v>
      </c>
      <c r="O22" s="253" t="s">
        <v>57</v>
      </c>
      <c r="P22" s="117"/>
      <c r="Q22" s="117"/>
      <c r="S22" s="26"/>
    </row>
    <row r="23" spans="1:29" ht="13.5" thickBot="1" x14ac:dyDescent="0.25">
      <c r="A23" t="s">
        <v>344</v>
      </c>
      <c r="D23" s="64" t="s">
        <v>59</v>
      </c>
      <c r="E23" s="229">
        <f t="shared" ref="E23:M23" si="1">SUM(E6:E22)</f>
        <v>491411</v>
      </c>
      <c r="F23" s="229" cm="1">
        <f t="array" ref="F23">SUM(IF(F6:F22="",E6:E22,F6:F22))</f>
        <v>107662</v>
      </c>
      <c r="G23" s="229">
        <f t="shared" si="1"/>
        <v>4294920</v>
      </c>
      <c r="H23" s="229">
        <f t="shared" si="1"/>
        <v>42742</v>
      </c>
      <c r="I23" s="229">
        <f>SUM(I6:I22)</f>
        <v>0</v>
      </c>
      <c r="J23" s="229">
        <f>SUM(J6:J22)</f>
        <v>507311</v>
      </c>
      <c r="K23" s="229">
        <f t="shared" si="1"/>
        <v>4251674</v>
      </c>
      <c r="L23" s="229">
        <f>SUM(L6:L22)</f>
        <v>0</v>
      </c>
      <c r="M23" s="229">
        <f t="shared" si="1"/>
        <v>0</v>
      </c>
      <c r="N23" s="600">
        <f>SUM(IF(F23="",E23,F23)+G23-H23-I23-K23-M23)</f>
        <v>108166</v>
      </c>
      <c r="O23" s="253" t="s">
        <v>59</v>
      </c>
    </row>
    <row r="24" spans="1:29" ht="13.5" thickTop="1" x14ac:dyDescent="0.2">
      <c r="D24" s="64"/>
      <c r="E24" s="26"/>
      <c r="F24" s="26"/>
      <c r="G24" s="26"/>
      <c r="H24" s="26"/>
      <c r="I24" s="26"/>
      <c r="J24" s="26"/>
      <c r="K24" s="26"/>
      <c r="L24" s="26"/>
      <c r="M24" s="26"/>
      <c r="N24" s="26"/>
      <c r="O24" s="253"/>
    </row>
    <row r="25" spans="1:29" x14ac:dyDescent="0.2">
      <c r="A25" s="221" t="s">
        <v>345</v>
      </c>
      <c r="B25" s="221"/>
      <c r="C25" s="221"/>
      <c r="D25" s="64" t="s">
        <v>61</v>
      </c>
      <c r="E25" s="598">
        <f>'[4]Page 8'!$M$25</f>
        <v>1602869</v>
      </c>
      <c r="F25" s="51">
        <v>108166</v>
      </c>
      <c r="G25" s="600">
        <f>Q25+Z25</f>
        <v>3713232</v>
      </c>
      <c r="H25" s="598">
        <f t="array" ref="H25">SUM(SUMIFS('Accounting data'!$G$2:$G$37000,'Accounting data'!$H$2:$H$37000,{"1310-1399-COVID-19*","1227*","1228*"},'Accounting data'!$K$2:$K$37000,"69*"))</f>
        <v>266</v>
      </c>
      <c r="I25" s="51">
        <v>0</v>
      </c>
      <c r="J25" s="103"/>
      <c r="K25" s="600">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3712967</v>
      </c>
      <c r="L25" s="49">
        <v>0</v>
      </c>
      <c r="M25" s="51">
        <v>0</v>
      </c>
      <c r="N25" s="600">
        <f>SUM(IF(F25="",E25,F25)+G25-H25-I25-K25-M25-L25)</f>
        <v>108165</v>
      </c>
      <c r="O25" s="64" t="s">
        <v>61</v>
      </c>
      <c r="Q25" s="48">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3713232.16</v>
      </c>
      <c r="R25" s="48"/>
      <c r="S25" s="48"/>
      <c r="T25" s="48"/>
      <c r="U25" s="48"/>
      <c r="V25" s="48"/>
      <c r="W25" s="48"/>
      <c r="X25" s="48"/>
      <c r="Y25" s="48"/>
      <c r="Z25" s="48">
        <f t="array" ref="Z25">-SUM(SUMIFS('Accounting data'!$G$2:$G$37000,'Accounting data'!$H$2:$H$37000,"1228*",'Accounting data'!$K$2:$K$37000,{"1*","2*","3*","4*","Other*"}))</f>
        <v>0</v>
      </c>
    </row>
    <row r="26" spans="1:29" x14ac:dyDescent="0.2">
      <c r="D26" s="64"/>
      <c r="E26" s="26"/>
      <c r="F26" s="26"/>
      <c r="G26" s="26"/>
      <c r="H26" s="26"/>
      <c r="I26" s="26"/>
      <c r="J26" s="26"/>
      <c r="K26" s="26"/>
      <c r="L26" s="26"/>
      <c r="M26" s="26"/>
      <c r="N26" s="26"/>
      <c r="O26" s="253"/>
    </row>
    <row r="27" spans="1:29" x14ac:dyDescent="0.2">
      <c r="A27" s="597" t="s">
        <v>346</v>
      </c>
      <c r="E27" s="224"/>
      <c r="F27" s="224"/>
      <c r="G27" s="224"/>
      <c r="H27" s="224"/>
      <c r="I27" s="224"/>
      <c r="J27" s="224"/>
      <c r="K27" s="224"/>
      <c r="L27" s="224"/>
      <c r="M27" s="224"/>
      <c r="N27" s="224"/>
    </row>
    <row r="28" spans="1:29" x14ac:dyDescent="0.2">
      <c r="A28" t="s">
        <v>347</v>
      </c>
      <c r="D28" s="64" t="s">
        <v>63</v>
      </c>
      <c r="E28" s="598">
        <f>[4]!StP1400EndBal</f>
        <v>0</v>
      </c>
      <c r="F28" s="51">
        <v>0</v>
      </c>
      <c r="G28" s="598">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1"/>
      <c r="I28" s="49">
        <v>0</v>
      </c>
      <c r="J28" s="598">
        <f>[3]!SP1400VocEd</f>
        <v>0</v>
      </c>
      <c r="K28" s="600">
        <f>SUMIFS('Accounting data'!$G$2:$G$37000,'Accounting data'!$H$2:$H$37000,"1400*",'Accounting data'!$K$2:$K$37000,"6*")-SUMIFS('Accounting data'!$G$2:$G$37000,'Accounting data'!$H$2:$H$37000,"1400*",'Accounting data'!$K$2:$K$37000,"69*")-SUMIFS('Accounting data'!$G$2:$G$37000,'Accounting data'!$H$2:$H$37000,"1400*",'Accounting data'!$K$2:$K$37000,"67*")</f>
        <v>0</v>
      </c>
      <c r="L28" s="49">
        <v>0</v>
      </c>
      <c r="M28" s="49">
        <v>0</v>
      </c>
      <c r="N28" s="600">
        <f>SUM(IF(F28="",E28,F28)+G28-H28-I28-K28-L28-M28)</f>
        <v>0</v>
      </c>
      <c r="O28" s="64" t="s">
        <v>63</v>
      </c>
    </row>
    <row r="29" spans="1:29" x14ac:dyDescent="0.2">
      <c r="A29" t="s">
        <v>348</v>
      </c>
      <c r="D29" s="64" t="s">
        <v>65</v>
      </c>
      <c r="E29" s="598">
        <f>[4]!StP1410EndBal</f>
        <v>0</v>
      </c>
      <c r="F29" s="51">
        <v>0</v>
      </c>
      <c r="G29" s="598">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1"/>
      <c r="I29" s="49">
        <v>0</v>
      </c>
      <c r="J29" s="598">
        <f>[3]!SP1410EarlyChildhoodBlockGrant</f>
        <v>0</v>
      </c>
      <c r="K29" s="600">
        <f>SUMIFS('Accounting data'!$G$2:$G$37000,'Accounting data'!$H$2:$H$37000,"1410*",'Accounting data'!$K$2:$K$37000,"6*")-SUMIFS('Accounting data'!$G$2:$G$37000,'Accounting data'!$H$2:$H$37000,"1410*",'Accounting data'!$K$2:$K$37000,"69*")-SUMIFS('Accounting data'!$G$2:$G$37000,'Accounting data'!$H$2:$H$37000,"1410*",'Accounting data'!$K$2:$K$37000,"67*")</f>
        <v>0</v>
      </c>
      <c r="L29" s="49">
        <v>0</v>
      </c>
      <c r="M29" s="49">
        <v>0</v>
      </c>
      <c r="N29" s="600">
        <f t="shared" ref="N29:N39" si="2">SUM(IF(F29="",E29,F29)+G29-H29-I29-K29-L29-M29)</f>
        <v>0</v>
      </c>
      <c r="O29" s="64" t="s">
        <v>65</v>
      </c>
    </row>
    <row r="30" spans="1:29" x14ac:dyDescent="0.2">
      <c r="A30" t="s">
        <v>349</v>
      </c>
      <c r="D30" s="64" t="s">
        <v>67</v>
      </c>
      <c r="E30" s="598">
        <f>[4]!StP1420EndBal</f>
        <v>0</v>
      </c>
      <c r="F30" s="51">
        <v>0</v>
      </c>
      <c r="G30" s="598">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1"/>
      <c r="I30" s="49">
        <v>0</v>
      </c>
      <c r="J30" s="598">
        <f>[3]!FP1420ExtendedSchool</f>
        <v>0</v>
      </c>
      <c r="K30" s="600">
        <f>SUMIFS('Accounting data'!$G$2:$G$37000,'Accounting data'!$H$2:$H$37000,"1420*",'Accounting data'!$K$2:$K$37000,"6*")-SUMIFS('Accounting data'!$G$2:$G$37000,'Accounting data'!$H$2:$H$37000,"1420*",'Accounting data'!$K$2:$K$37000,"69*")-SUMIFS('Accounting data'!$G$2:$G$37000,'Accounting data'!$H$2:$H$37000,"1420*",'Accounting data'!$K$2:$K$37000,"67*")</f>
        <v>0</v>
      </c>
      <c r="L30" s="49">
        <v>0</v>
      </c>
      <c r="M30" s="49">
        <v>0</v>
      </c>
      <c r="N30" s="600">
        <f t="shared" si="2"/>
        <v>0</v>
      </c>
      <c r="O30" s="64" t="s">
        <v>67</v>
      </c>
    </row>
    <row r="31" spans="1:29" x14ac:dyDescent="0.2">
      <c r="A31" t="s">
        <v>350</v>
      </c>
      <c r="D31" s="64" t="s">
        <v>69</v>
      </c>
      <c r="E31" s="598">
        <f>[4]!StP1425EndBal</f>
        <v>0</v>
      </c>
      <c r="F31" s="51">
        <v>0</v>
      </c>
      <c r="G31" s="598">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1"/>
      <c r="I31" s="49">
        <v>0</v>
      </c>
      <c r="J31" s="598">
        <f>[3]!SP1425AdultBasicEd</f>
        <v>0</v>
      </c>
      <c r="K31" s="600">
        <f>SUMIFS('Accounting data'!$G$2:$G$37000,'Accounting data'!$H$2:$H$37000,"1425*",'Accounting data'!$K$2:$K$37000,"6*")-SUMIFS('Accounting data'!$G$2:$G$37000,'Accounting data'!$H$2:$H$37000,"1425*",'Accounting data'!$K$2:$K$37000,"69*")-SUMIFS('Accounting data'!$G$2:$G$37000,'Accounting data'!$H$2:$H$37000,"1425*",'Accounting data'!$K$2:$K$37000,"67*")</f>
        <v>0</v>
      </c>
      <c r="L31" s="49">
        <v>0</v>
      </c>
      <c r="M31" s="49">
        <v>0</v>
      </c>
      <c r="N31" s="600">
        <f t="shared" si="2"/>
        <v>0</v>
      </c>
      <c r="O31" s="64" t="s">
        <v>69</v>
      </c>
    </row>
    <row r="32" spans="1:29" x14ac:dyDescent="0.2">
      <c r="A32" t="s">
        <v>351</v>
      </c>
      <c r="D32" s="64" t="s">
        <v>71</v>
      </c>
      <c r="E32" s="598">
        <f>[4]!StP1430EndBal</f>
        <v>0</v>
      </c>
      <c r="F32" s="51">
        <v>0</v>
      </c>
      <c r="G32" s="598">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1"/>
      <c r="I32" s="49">
        <v>0</v>
      </c>
      <c r="J32" s="598">
        <f>[3]!SP1430ChemicalAbuse</f>
        <v>0</v>
      </c>
      <c r="K32" s="600">
        <f>SUMIFS('Accounting data'!$G$2:$G$37000,'Accounting data'!$H$2:$H$37000,"1430*",'Accounting data'!$K$2:$K$37000,"6*")-SUMIFS('Accounting data'!$G$2:$G$37000,'Accounting data'!$H$2:$H$37000,"1430*",'Accounting data'!$K$2:$K$37000,"69*")-SUMIFS('Accounting data'!$G$2:$G$37000,'Accounting data'!$H$2:$H$37000,"1430*",'Accounting data'!$K$2:$K$37000,"67*")</f>
        <v>0</v>
      </c>
      <c r="L32" s="49">
        <v>0</v>
      </c>
      <c r="M32" s="49">
        <v>0</v>
      </c>
      <c r="N32" s="600">
        <f t="shared" si="2"/>
        <v>0</v>
      </c>
      <c r="O32" s="64" t="s">
        <v>71</v>
      </c>
    </row>
    <row r="33" spans="1:15" ht="12.75" customHeight="1" x14ac:dyDescent="0.2">
      <c r="A33" t="s">
        <v>352</v>
      </c>
      <c r="D33" s="64" t="s">
        <v>73</v>
      </c>
      <c r="E33" s="598">
        <f>[4]!StP1435EndBal</f>
        <v>0</v>
      </c>
      <c r="F33" s="51">
        <v>0</v>
      </c>
      <c r="G33" s="598">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101"/>
      <c r="I33" s="49">
        <v>0</v>
      </c>
      <c r="J33" s="598">
        <f>[3]!SP1435AcademicContests</f>
        <v>0</v>
      </c>
      <c r="K33" s="600">
        <f>SUMIFS('Accounting data'!$G$2:$G$37000,'Accounting data'!$H$2:$H$37000,"1435*",'Accounting data'!$K$2:$K$37000,"6*")-SUMIFS('Accounting data'!$G$2:$G$37000,'Accounting data'!$H$2:$H$37000,"1435*",'Accounting data'!$K$2:$K$37000,"69*")-SUMIFS('Accounting data'!$G$2:$G$37000,'Accounting data'!$H$2:$H$37000,"1435*",'Accounting data'!$K$2:$K$37000,"67*")</f>
        <v>0</v>
      </c>
      <c r="L33" s="49">
        <v>0</v>
      </c>
      <c r="M33" s="49">
        <v>0</v>
      </c>
      <c r="N33" s="600">
        <f t="shared" si="2"/>
        <v>0</v>
      </c>
      <c r="O33" s="64" t="s">
        <v>73</v>
      </c>
    </row>
    <row r="34" spans="1:15" ht="12.75" customHeight="1" x14ac:dyDescent="0.2">
      <c r="A34" t="s">
        <v>353</v>
      </c>
      <c r="D34" s="64" t="s">
        <v>75</v>
      </c>
      <c r="E34" s="598">
        <f>[4]!StP1450EndBal</f>
        <v>0</v>
      </c>
      <c r="F34" s="51">
        <v>0</v>
      </c>
      <c r="G34" s="598">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1"/>
      <c r="I34" s="49">
        <v>0</v>
      </c>
      <c r="J34" s="598">
        <f>[3]!SP1450GiftedEd</f>
        <v>0</v>
      </c>
      <c r="K34" s="600">
        <f>SUMIFS('Accounting data'!$G$2:$G$37000,'Accounting data'!$H$2:$H$37000,"1450*",'Accounting data'!$K$2:$K$37000,"6*")-SUMIFS('Accounting data'!$G$2:$G$37000,'Accounting data'!$H$2:$H$37000,"1450*",'Accounting data'!$K$2:$K$37000,"69*")-SUMIFS('Accounting data'!$G$2:$G$37000,'Accounting data'!$H$2:$H$37000,"1450*",'Accounting data'!$K$2:$K$37000,"67*")</f>
        <v>0</v>
      </c>
      <c r="L34" s="49">
        <v>0</v>
      </c>
      <c r="M34" s="49">
        <v>0</v>
      </c>
      <c r="N34" s="600">
        <f t="shared" si="2"/>
        <v>0</v>
      </c>
      <c r="O34" s="64" t="s">
        <v>75</v>
      </c>
    </row>
    <row r="35" spans="1:15" ht="12.75" customHeight="1" x14ac:dyDescent="0.2">
      <c r="A35" t="s">
        <v>354</v>
      </c>
      <c r="D35" s="64" t="s">
        <v>77</v>
      </c>
      <c r="E35" s="598">
        <f>'[4]Page 8'!$M$35</f>
        <v>0</v>
      </c>
      <c r="F35" s="51">
        <v>0</v>
      </c>
      <c r="G35" s="598">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101"/>
      <c r="I35" s="49">
        <v>0</v>
      </c>
      <c r="J35" s="598">
        <f>+'[3]Page 2'!$E$31</f>
        <v>0</v>
      </c>
      <c r="K35" s="600">
        <f>SUMIFS('Accounting data'!$G$2:$G$37000,'Accounting data'!$H$2:$H$37000,"1456*",'Accounting data'!$K$2:$K$37000,"6*")-SUMIFS('Accounting data'!$G$2:$G$37000,'Accounting data'!$H$2:$H$37000,"1456*",'Accounting data'!$K$2:$K$37000,"69*")-SUMIFS('Accounting data'!$G$2:$G$37000,'Accounting data'!$H$2:$H$37000,"1456*",'Accounting data'!$K$2:$K$37000,"67*")</f>
        <v>0</v>
      </c>
      <c r="L35" s="49">
        <v>0</v>
      </c>
      <c r="M35" s="49">
        <v>0</v>
      </c>
      <c r="N35" s="600">
        <f t="shared" si="2"/>
        <v>0</v>
      </c>
      <c r="O35" s="64" t="s">
        <v>77</v>
      </c>
    </row>
    <row r="36" spans="1:15" x14ac:dyDescent="0.2">
      <c r="A36" t="s">
        <v>355</v>
      </c>
      <c r="D36" s="64" t="s">
        <v>79</v>
      </c>
      <c r="E36" s="598">
        <f>[4]!StP1460EndBal</f>
        <v>0</v>
      </c>
      <c r="F36" s="51">
        <v>0</v>
      </c>
      <c r="G36" s="598">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4"/>
      <c r="I36" s="49">
        <v>0</v>
      </c>
      <c r="J36" s="598">
        <f>[3]!SP1460EnvironmentalSpecialPlate</f>
        <v>0</v>
      </c>
      <c r="K36" s="600">
        <f>SUMIFS('Accounting data'!$G$2:$G$37000,'Accounting data'!$H$2:$H$37000,"1460*",'Accounting data'!$K$2:$K$37000,"6*")-SUMIFS('Accounting data'!$G$2:$G$37000,'Accounting data'!$H$2:$H$37000,"1460*",'Accounting data'!$K$2:$K$37000,"69*")-SUMIFS('Accounting data'!$G$2:$G$37000,'Accounting data'!$H$2:$H$37000,"1460*",'Accounting data'!$K$2:$K$37000,"67*")</f>
        <v>0</v>
      </c>
      <c r="L36" s="49">
        <v>0</v>
      </c>
      <c r="M36" s="49">
        <v>0</v>
      </c>
      <c r="N36" s="600">
        <f t="shared" si="2"/>
        <v>0</v>
      </c>
      <c r="O36" s="64" t="s">
        <v>81</v>
      </c>
    </row>
    <row r="37" spans="1:15" ht="12.75" customHeight="1" x14ac:dyDescent="0.2">
      <c r="A37" t="s">
        <v>356</v>
      </c>
      <c r="D37" s="64" t="s">
        <v>81</v>
      </c>
      <c r="E37" s="598">
        <f>[4]!StP1465EndBal</f>
        <v>0</v>
      </c>
      <c r="F37" s="51">
        <v>0</v>
      </c>
      <c r="G37" s="598">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2"/>
      <c r="I37" s="49">
        <v>0</v>
      </c>
      <c r="J37" s="598">
        <f>[3]!SP1465CharterSchool</f>
        <v>0</v>
      </c>
      <c r="K37" s="600">
        <f>SUMIFS('Accounting data'!$G$2:$G$37000,'Accounting data'!$H$2:$H$37000,"1465*",'Accounting data'!$K$2:$K$37000,"6*")-SUMIFS('Accounting data'!$G$2:$G$37000,'Accounting data'!$H$2:$H$37000,"1465*",'Accounting data'!$K$2:$K$37000,"69*")-SUMIFS('Accounting data'!$G$2:$G$37000,'Accounting data'!$H$2:$H$37000,"1465*",'Accounting data'!$K$2:$K$37000,"67*")</f>
        <v>0</v>
      </c>
      <c r="L37" s="49">
        <v>0</v>
      </c>
      <c r="M37" s="49">
        <v>0</v>
      </c>
      <c r="N37" s="600">
        <f t="shared" si="2"/>
        <v>0</v>
      </c>
      <c r="O37" s="64" t="s">
        <v>83</v>
      </c>
    </row>
    <row r="38" spans="1:15" ht="12.75" customHeight="1" x14ac:dyDescent="0.2">
      <c r="A38" s="263" t="s">
        <v>357</v>
      </c>
      <c r="B38" s="263"/>
      <c r="C38" s="263"/>
      <c r="D38" s="68" t="s">
        <v>83</v>
      </c>
      <c r="E38" s="598">
        <f t="array" ref="E38">[4]!StP14XXEndBal</f>
        <v>0</v>
      </c>
      <c r="F38" s="51">
        <v>0</v>
      </c>
      <c r="G38" s="598">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2"/>
      <c r="I38" s="49">
        <v>0</v>
      </c>
      <c r="J38" s="598">
        <f>'[3]Page 2'!$E$35</f>
        <v>3000000</v>
      </c>
      <c r="K38" s="600">
        <f>SUMIFS('Accounting data'!$G$2:$G$37000,'Accounting data'!$H$2:$H$37000,"14XX*",'Accounting data'!$K$2:$K$37000,"6*")-SUMIFS('Accounting data'!$G$2:$G$37000,'Accounting data'!$H$2:$H$37000,"14XX*",'Accounting data'!$K$2:$K$37000,"69*")-SUMIFS('Accounting data'!$G$2:$G$37000,'Accounting data'!$H$2:$H$37000,"14XX*",'Accounting data'!$K$2:$K$37000,"67*")</f>
        <v>0</v>
      </c>
      <c r="L38" s="49">
        <v>0</v>
      </c>
      <c r="M38" s="49">
        <v>0</v>
      </c>
      <c r="N38" s="600">
        <f t="shared" si="2"/>
        <v>0</v>
      </c>
      <c r="O38" s="68" t="s">
        <v>85</v>
      </c>
    </row>
    <row r="39" spans="1:15" ht="12.75" customHeight="1" thickBot="1" x14ac:dyDescent="0.25">
      <c r="A39" t="s">
        <v>358</v>
      </c>
      <c r="D39" s="64" t="s">
        <v>85</v>
      </c>
      <c r="E39" s="228">
        <f>[4]!StP14701499EndBal+'[4]Page 8'!$M$36</f>
        <v>300</v>
      </c>
      <c r="F39" s="54">
        <v>0</v>
      </c>
      <c r="G39" s="228">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85075</v>
      </c>
      <c r="H39" s="264"/>
      <c r="I39" s="49">
        <v>0</v>
      </c>
      <c r="J39" s="228">
        <f>[3]!SP14701499Other</f>
        <v>3000000</v>
      </c>
      <c r="K39" s="234">
        <f>SUMIFS('Accounting data'!$G$2:$G$37000,'Accounting data'!$H$2:$H$37000,"1470*",'Accounting data'!$K$2:$K$37000,"6*")-SUMIFS('Accounting data'!$G$2:$G$37000,'Accounting data'!$H$2:$H$37000,"1470*",'Accounting data'!$K$2:$K$37000,"69*")-SUMIFS('Accounting data'!$G$2:$G$37000,'Accounting data'!$H$2:$H$37000,"1470*",'Accounting data'!$K$2:$K$37000,"67*")</f>
        <v>85075</v>
      </c>
      <c r="L39" s="49">
        <v>0</v>
      </c>
      <c r="M39" s="49">
        <v>0</v>
      </c>
      <c r="N39" s="600">
        <f t="shared" si="2"/>
        <v>0</v>
      </c>
      <c r="O39" s="64" t="s">
        <v>86</v>
      </c>
    </row>
    <row r="40" spans="1:15" ht="13.5" thickBot="1" x14ac:dyDescent="0.25">
      <c r="A40" t="s">
        <v>1143</v>
      </c>
      <c r="D40" s="64" t="s">
        <v>86</v>
      </c>
      <c r="E40" s="229">
        <f>SUM(E28:E39)</f>
        <v>300</v>
      </c>
      <c r="F40" s="229" cm="1">
        <f t="array" ref="F40">SUM(IF(F28:F39="",E28:E39,F28:F39))</f>
        <v>0</v>
      </c>
      <c r="G40" s="229">
        <f>SUM(G28:G39)</f>
        <v>85075</v>
      </c>
      <c r="H40" s="265"/>
      <c r="I40" s="229">
        <f>SUM(I28:I39)</f>
        <v>0</v>
      </c>
      <c r="J40" s="229">
        <f>SUM(J28:J39)</f>
        <v>6000000</v>
      </c>
      <c r="K40" s="229">
        <f>SUM(K28:K39)</f>
        <v>85075</v>
      </c>
      <c r="L40" s="229">
        <f>SUM(L28:L39)</f>
        <v>0</v>
      </c>
      <c r="M40" s="229">
        <f>SUM(M28:M39)</f>
        <v>0</v>
      </c>
      <c r="N40" s="600">
        <f>SUM(IF(F40="",E40,F40)+G40-H40-I40-K40-L40-M40)</f>
        <v>0</v>
      </c>
      <c r="O40" s="64" t="s">
        <v>140</v>
      </c>
    </row>
    <row r="41" spans="1:15" ht="13.5" thickTop="1" x14ac:dyDescent="0.2">
      <c r="D41" s="266"/>
      <c r="E41" s="26"/>
      <c r="F41" s="26"/>
      <c r="G41" s="26"/>
      <c r="H41" s="26"/>
      <c r="I41" s="26"/>
      <c r="J41" s="26"/>
      <c r="K41" s="26"/>
      <c r="L41" s="26"/>
      <c r="M41" s="26"/>
      <c r="N41" s="26"/>
      <c r="O41" s="267"/>
    </row>
    <row r="42" spans="1:15" ht="13.5" thickBot="1" x14ac:dyDescent="0.25">
      <c r="A42" s="221" t="s">
        <v>1142</v>
      </c>
      <c r="B42" s="221"/>
      <c r="C42" s="221"/>
      <c r="D42" s="64" t="s">
        <v>140</v>
      </c>
      <c r="E42" s="268">
        <f>SUM(E23+E40)</f>
        <v>491711</v>
      </c>
      <c r="F42" s="268">
        <f>SUM(F23+F40)</f>
        <v>107662</v>
      </c>
      <c r="G42" s="268">
        <f>SUM(G23+G40)</f>
        <v>4379995</v>
      </c>
      <c r="H42" s="606">
        <f>H23</f>
        <v>42742</v>
      </c>
      <c r="I42" s="268">
        <f>SUM(I23+I40)</f>
        <v>0</v>
      </c>
      <c r="J42" s="268">
        <f>SUM(J23+J40)</f>
        <v>6507311</v>
      </c>
      <c r="K42" s="268">
        <f>SUM(K23+K40)</f>
        <v>4336749</v>
      </c>
      <c r="L42" s="268">
        <f>SUM(L23+L40)</f>
        <v>0</v>
      </c>
      <c r="M42" s="268">
        <f>SUM(M23+M40)</f>
        <v>0</v>
      </c>
      <c r="N42" s="600">
        <f>SUM(IF(F42="",E42,F42)+G42-H42-I42-K42-L42-M42)</f>
        <v>108166</v>
      </c>
      <c r="O42" s="64" t="s">
        <v>141</v>
      </c>
    </row>
    <row r="43" spans="1:15" ht="13.5" thickTop="1" x14ac:dyDescent="0.2"/>
    <row r="45" spans="1:15" ht="12" customHeight="1" x14ac:dyDescent="0.2">
      <c r="A45" s="596"/>
    </row>
  </sheetData>
  <sheetProtection formatCells="0" formatColumns="0" formatRows="0"/>
  <mergeCells count="4">
    <mergeCell ref="A3:D3"/>
    <mergeCell ref="B1:D1"/>
    <mergeCell ref="H1:I1"/>
    <mergeCell ref="J4:K4"/>
  </mergeCells>
  <conditionalFormatting sqref="F6:F22 F25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www.w3.org/XML/1998/namespace"/>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ffcdc2e4-c8f2-4bf7-ab1d-ea300bde3fd8"/>
    <ds:schemaRef ds:uri="http://schemas.microsoft.com/office/infopath/2007/PartnerControls"/>
    <ds:schemaRef ds:uri="8385876d-3ffd-449d-b709-a8df02b96ae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2026-06-24T19:06:08Z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