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F5CD4A15-AABC-4B4C-8E75-672B3E5130CB}"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42"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 r:id="rId23"/>
    <externalReference r:id="rId24"/>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4" l="1"/>
  <c r="F28" i="12"/>
  <c r="I5" i="24" l="1"/>
  <c r="G17" i="24"/>
  <c r="D42" i="23"/>
  <c r="G40" i="23"/>
  <c r="K32" i="15"/>
  <c r="M24" i="6"/>
  <c r="M20" i="6"/>
  <c r="H10" i="8" l="1"/>
  <c r="J39" i="4" l="1"/>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B17" i="24"/>
  <c r="E39" i="4"/>
  <c r="E38" i="4" a="1"/>
  <c r="E38" i="4" s="1"/>
  <c r="E37" i="4"/>
  <c r="E36" i="4"/>
  <c r="E35" i="4"/>
  <c r="E34" i="4"/>
  <c r="E33" i="4"/>
  <c r="E32" i="4"/>
  <c r="E31" i="4"/>
  <c r="E30" i="4"/>
  <c r="E29" i="4"/>
  <c r="E28" i="4"/>
  <c r="E25" i="4"/>
  <c r="E22" i="4"/>
  <c r="E21" i="4"/>
  <c r="E20" i="4"/>
  <c r="E19" i="4"/>
  <c r="E18" i="4"/>
  <c r="E17" i="4"/>
  <c r="E16" i="4"/>
  <c r="E15" i="4"/>
  <c r="E14" i="4"/>
  <c r="E13" i="4"/>
  <c r="E12" i="4"/>
  <c r="E11" i="4"/>
  <c r="E10" i="4"/>
  <c r="E9" i="4"/>
  <c r="E8" i="4"/>
  <c r="E7" i="4"/>
  <c r="E6" i="4"/>
  <c r="T30" i="6"/>
  <c r="D6" i="6"/>
  <c r="F48" i="14"/>
  <c r="F26" i="14"/>
  <c r="F15" i="12"/>
  <c r="K47" i="7"/>
  <c r="K46" i="7"/>
  <c r="K45" i="7"/>
  <c r="K44" i="7"/>
  <c r="K43" i="7"/>
  <c r="K41" i="7"/>
  <c r="K40" i="7"/>
  <c r="K39" i="7"/>
  <c r="K38" i="7"/>
  <c r="K36" i="7"/>
  <c r="K35" i="7"/>
  <c r="K34" i="7"/>
  <c r="K33" i="7"/>
  <c r="K32" i="7"/>
  <c r="K31" i="7"/>
  <c r="K30" i="7"/>
  <c r="K29" i="7"/>
  <c r="K28" i="7"/>
  <c r="K27" i="7"/>
  <c r="K25" i="7"/>
  <c r="K22" i="7"/>
  <c r="K21" i="7"/>
  <c r="K20" i="7"/>
  <c r="K19" i="7"/>
  <c r="K18" i="7"/>
  <c r="K17" i="7"/>
  <c r="K16" i="7"/>
  <c r="K15" i="7"/>
  <c r="K14" i="7"/>
  <c r="K13" i="7"/>
  <c r="K12" i="7"/>
  <c r="K11" i="7"/>
  <c r="K10" i="7"/>
  <c r="K9" i="7"/>
  <c r="K7" i="7"/>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23" i="24"/>
  <c r="J22" i="24"/>
  <c r="J18" i="24"/>
  <c r="I18" i="24"/>
  <c r="N15" i="24"/>
  <c r="N12" i="24"/>
  <c r="I1" i="24"/>
  <c r="F1" i="24"/>
  <c r="B1" i="24"/>
  <c r="F43" i="23"/>
  <c r="E43" i="23"/>
  <c r="D43" i="23"/>
  <c r="G42" i="23"/>
  <c r="G41" i="23"/>
  <c r="N40" i="23"/>
  <c r="G39" i="23"/>
  <c r="G38" i="23"/>
  <c r="P32" i="23"/>
  <c r="O32" i="23"/>
  <c r="N32" i="23"/>
  <c r="M32" i="23"/>
  <c r="L32" i="23"/>
  <c r="P31" i="23"/>
  <c r="O31" i="23"/>
  <c r="N31" i="23"/>
  <c r="M31" i="23"/>
  <c r="L31" i="23"/>
  <c r="J31"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K39" i="15"/>
  <c r="D35" i="15" a="1"/>
  <c r="D35" i="15" s="1"/>
  <c r="D34" i="15" a="1"/>
  <c r="D34" i="15"/>
  <c r="D33" i="15" a="1"/>
  <c r="D33" i="15" s="1"/>
  <c r="K23" i="15"/>
  <c r="AA12" i="15"/>
  <c r="AA11" i="15"/>
  <c r="K1" i="15"/>
  <c r="F1" i="15"/>
  <c r="B1" i="15"/>
  <c r="M40" i="4"/>
  <c r="I23" i="24" s="1"/>
  <c r="L40" i="4"/>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L23" i="4"/>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1" i="6"/>
  <c r="F29" i="6"/>
  <c r="G20" i="6"/>
  <c r="G11" i="6"/>
  <c r="F11" i="6"/>
  <c r="AA9" i="6"/>
  <c r="AA8" i="6"/>
  <c r="AA10" i="6" s="1"/>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G11" i="12"/>
  <c r="F11" i="12"/>
  <c r="I10" i="12"/>
  <c r="I9" i="12"/>
  <c r="I8" i="12"/>
  <c r="AA7" i="12"/>
  <c r="I7" i="12"/>
  <c r="M1" i="12"/>
  <c r="H1" i="12"/>
  <c r="C1" i="12"/>
  <c r="F26" i="22"/>
  <c r="F25" i="22"/>
  <c r="B18" i="24"/>
  <c r="G18" i="22"/>
  <c r="H43" i="7" s="1"/>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9" i="8"/>
  <c r="H8" i="8"/>
  <c r="H7" i="8"/>
  <c r="H6" i="8"/>
  <c r="H5" i="8"/>
  <c r="M1" i="8"/>
  <c r="H1" i="8"/>
  <c r="C1" i="8"/>
  <c r="T20" i="2"/>
  <c r="G43" i="23" l="1"/>
  <c r="H45" i="23" s="1"/>
  <c r="M42" i="4"/>
  <c r="L42" i="4"/>
  <c r="I22" i="24"/>
  <c r="AC11" i="4"/>
  <c r="I42" i="4"/>
  <c r="R11" i="5"/>
  <c r="AA12" i="5"/>
  <c r="I11" i="12"/>
  <c r="F18" i="12" s="1"/>
  <c r="AA13" i="15"/>
  <c r="AA14" i="15" s="1"/>
  <c r="J19" i="7"/>
  <c r="L19" i="7" s="1"/>
  <c r="J11" i="7"/>
  <c r="L11" i="7" s="1"/>
  <c r="J13" i="7"/>
  <c r="L13" i="7" s="1"/>
  <c r="E169" i="18"/>
  <c r="E19" i="15" s="1"/>
  <c r="E692" i="18"/>
  <c r="G19" i="15" s="1"/>
  <c r="E1144" i="18"/>
  <c r="I16" i="15" s="1"/>
  <c r="E1247" i="18"/>
  <c r="N11" i="23"/>
  <c r="E671" i="18"/>
  <c r="E1035" i="18"/>
  <c r="H26" i="15" s="1"/>
  <c r="J10" i="7"/>
  <c r="L10" i="7" s="1"/>
  <c r="J17" i="7"/>
  <c r="L17" i="7" s="1"/>
  <c r="E1454" i="18"/>
  <c r="E127" i="18"/>
  <c r="E14" i="15" s="1"/>
  <c r="E986" i="18"/>
  <c r="E1007" i="18"/>
  <c r="H19" i="15" s="1"/>
  <c r="J38" i="7"/>
  <c r="H13" i="24" s="1"/>
  <c r="J40" i="7"/>
  <c r="H15" i="24" s="1"/>
  <c r="E71" i="18"/>
  <c r="D21" i="15" s="1"/>
  <c r="E951" i="18"/>
  <c r="H11" i="15" s="1"/>
  <c r="E1130" i="18"/>
  <c r="I14" i="15" s="1"/>
  <c r="N12" i="23"/>
  <c r="E176" i="18"/>
  <c r="E21" i="15" s="1"/>
  <c r="E636" i="18"/>
  <c r="G11" i="15" s="1"/>
  <c r="E657" i="18"/>
  <c r="G15" i="15" s="1"/>
  <c r="G32" i="14"/>
  <c r="G48" i="14" s="1"/>
  <c r="D21" i="24" s="1"/>
  <c r="E190" i="18"/>
  <c r="E22" i="15" s="1"/>
  <c r="E685" i="18"/>
  <c r="G18" i="15" s="1"/>
  <c r="J9" i="7"/>
  <c r="L8" i="7" s="1"/>
  <c r="J44" i="14"/>
  <c r="J48" i="14" s="1"/>
  <c r="F46" i="7" s="1"/>
  <c r="N17" i="14"/>
  <c r="N39" i="14"/>
  <c r="E535" i="18"/>
  <c r="F22" i="15" s="1"/>
  <c r="E678" i="18"/>
  <c r="E15" i="18"/>
  <c r="D13" i="15" s="1"/>
  <c r="E1165" i="18"/>
  <c r="I18" i="15" s="1"/>
  <c r="J15" i="7"/>
  <c r="L15" i="7" s="1"/>
  <c r="J30" i="7"/>
  <c r="L30" i="7" s="1"/>
  <c r="E85" i="18"/>
  <c r="D22" i="15" s="1"/>
  <c r="E120" i="18"/>
  <c r="E13" i="15" s="1"/>
  <c r="E162" i="18"/>
  <c r="E18" i="15" s="1"/>
  <c r="E1489" i="18"/>
  <c r="E36" i="18"/>
  <c r="D16" i="15" s="1"/>
  <c r="E664" i="18"/>
  <c r="G16" i="15" s="1"/>
  <c r="N42" i="14"/>
  <c r="E1236" i="18"/>
  <c r="E1258" i="18"/>
  <c r="E1280" i="18"/>
  <c r="E1479" i="18"/>
  <c r="E43" i="18"/>
  <c r="E1061" i="18"/>
  <c r="E1116" i="18"/>
  <c r="I11" i="15" s="1"/>
  <c r="J18" i="7"/>
  <c r="L18" i="7" s="1"/>
  <c r="J41" i="7"/>
  <c r="H16" i="24" s="1"/>
  <c r="N16" i="14"/>
  <c r="G40" i="4"/>
  <c r="D23" i="24" s="1"/>
  <c r="E197" i="18"/>
  <c r="E26" i="15" s="1"/>
  <c r="E650" i="18"/>
  <c r="G14" i="15" s="1"/>
  <c r="E1028" i="18"/>
  <c r="H22" i="15" s="1"/>
  <c r="E1137" i="18"/>
  <c r="I15" i="15" s="1"/>
  <c r="E1459" i="18"/>
  <c r="E1469" i="18"/>
  <c r="E1494" i="18"/>
  <c r="J21" i="7"/>
  <c r="I13" i="22"/>
  <c r="G43" i="7" s="1"/>
  <c r="K40" i="4"/>
  <c r="H23" i="24" s="1"/>
  <c r="E29" i="18"/>
  <c r="D15" i="15" s="1"/>
  <c r="E106" i="18"/>
  <c r="D24" i="15" s="1"/>
  <c r="E373" i="18"/>
  <c r="E134" i="18"/>
  <c r="E15" i="15" s="1"/>
  <c r="E1082" i="18"/>
  <c r="E1123" i="18"/>
  <c r="I13" i="15" s="1"/>
  <c r="E1225" i="18"/>
  <c r="E1269" i="18"/>
  <c r="E1368" i="18"/>
  <c r="F23" i="4" a="1"/>
  <c r="F23" i="4" s="1"/>
  <c r="F40" i="4" a="1"/>
  <c r="F40" i="4" s="1"/>
  <c r="C23" i="24" s="1"/>
  <c r="AA18" i="22"/>
  <c r="J16" i="7"/>
  <c r="L16" i="7" s="1"/>
  <c r="K44" i="14"/>
  <c r="K48" i="14" s="1"/>
  <c r="G46" i="7" s="1"/>
  <c r="N31" i="4"/>
  <c r="N35" i="4"/>
  <c r="N39" i="4"/>
  <c r="J18" i="23"/>
  <c r="J19" i="23" s="1"/>
  <c r="E1504" i="18"/>
  <c r="E1523" i="18"/>
  <c r="J14" i="7"/>
  <c r="L14" i="7" s="1"/>
  <c r="J28" i="7"/>
  <c r="L28" i="7" s="1"/>
  <c r="K9" i="22"/>
  <c r="L44" i="14"/>
  <c r="L48" i="14" s="1"/>
  <c r="H46" i="7" s="1"/>
  <c r="G23" i="4"/>
  <c r="E292" i="18"/>
  <c r="F14" i="15" s="1"/>
  <c r="E346" i="18"/>
  <c r="F16" i="15" s="1"/>
  <c r="E1109" i="18"/>
  <c r="E1193" i="18"/>
  <c r="I22" i="15" s="1"/>
  <c r="E1302" i="18"/>
  <c r="E1474" i="18"/>
  <c r="AA17" i="8"/>
  <c r="J12" i="7"/>
  <c r="L12" i="7" s="1"/>
  <c r="J35" i="7"/>
  <c r="L35" i="7" s="1"/>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L33" i="7" s="1"/>
  <c r="N25" i="14"/>
  <c r="N28" i="4"/>
  <c r="N32" i="4"/>
  <c r="N36" i="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L31" i="7" s="1"/>
  <c r="K22" i="14"/>
  <c r="K26" i="14" s="1"/>
  <c r="G45" i="7" s="1"/>
  <c r="N7" i="4"/>
  <c r="N16" i="4"/>
  <c r="H23" i="4"/>
  <c r="H42" i="4" s="1"/>
  <c r="E979" i="18"/>
  <c r="H16" i="15" s="1"/>
  <c r="E1049" i="18"/>
  <c r="H24" i="15" s="1"/>
  <c r="E1172" i="18"/>
  <c r="I19" i="15" s="1"/>
  <c r="E1214" i="18"/>
  <c r="I24" i="15" s="1"/>
  <c r="G23" i="7"/>
  <c r="H37" i="7"/>
  <c r="G13" i="22"/>
  <c r="E43" i="7" s="1"/>
  <c r="L22" i="14"/>
  <c r="L26" i="14" s="1"/>
  <c r="H45" i="7" s="1"/>
  <c r="E1313" i="18"/>
  <c r="E1449" i="18"/>
  <c r="E1533" i="18"/>
  <c r="H23" i="7"/>
  <c r="J29" i="7"/>
  <c r="L29" i="7" s="1"/>
  <c r="J39" i="7"/>
  <c r="H14" i="24" s="1"/>
  <c r="F27" i="22"/>
  <c r="D18" i="24" s="1"/>
  <c r="N40" i="14"/>
  <c r="N43" i="14"/>
  <c r="N29" i="4"/>
  <c r="N33" i="4"/>
  <c r="N13" i="23"/>
  <c r="E734" i="18"/>
  <c r="G24" i="15" s="1"/>
  <c r="J36" i="7"/>
  <c r="L36" i="7" s="1"/>
  <c r="N20" i="14"/>
  <c r="N38" i="14"/>
  <c r="N16" i="23"/>
  <c r="E265" i="18"/>
  <c r="F13" i="15" s="1"/>
  <c r="J27" i="7"/>
  <c r="L26" i="7" s="1"/>
  <c r="N14" i="14"/>
  <c r="K23" i="4"/>
  <c r="N20" i="4"/>
  <c r="E148" i="18"/>
  <c r="E319" i="18"/>
  <c r="F15" i="15" s="1"/>
  <c r="E481" i="18"/>
  <c r="F21" i="15" s="1"/>
  <c r="E958" i="18"/>
  <c r="H13" i="15" s="1"/>
  <c r="E1014" i="18"/>
  <c r="H21" i="15" s="1"/>
  <c r="E1151" i="18"/>
  <c r="E1179" i="18"/>
  <c r="I21" i="15" s="1"/>
  <c r="J34" i="7"/>
  <c r="L34" i="7" s="1"/>
  <c r="E562" i="18"/>
  <c r="F26" i="15" s="1"/>
  <c r="E643" i="18"/>
  <c r="G13" i="15" s="1"/>
  <c r="E1291" i="18"/>
  <c r="E1357" i="18"/>
  <c r="F13" i="22"/>
  <c r="N41" i="14"/>
  <c r="N8" i="4"/>
  <c r="N11" i="4"/>
  <c r="N14" i="4"/>
  <c r="E155" i="18"/>
  <c r="E427" i="18"/>
  <c r="F18" i="15" s="1"/>
  <c r="E1499" i="18"/>
  <c r="E1539" i="18"/>
  <c r="J22" i="7"/>
  <c r="J32" i="7"/>
  <c r="L32" i="7" s="1"/>
  <c r="H44" i="14"/>
  <c r="H48" i="14" s="1"/>
  <c r="D46" i="7" s="1"/>
  <c r="I44" i="14"/>
  <c r="I48" i="14" s="1"/>
  <c r="E46" i="7" s="1"/>
  <c r="E22" i="18"/>
  <c r="D14" i="15" s="1"/>
  <c r="E50" i="18"/>
  <c r="E699" i="18"/>
  <c r="G21" i="15" s="1"/>
  <c r="E1335" i="18"/>
  <c r="D36" i="15" s="1"/>
  <c r="E1484" i="18"/>
  <c r="J20" i="7"/>
  <c r="L20" i="7" s="1"/>
  <c r="H13" i="22"/>
  <c r="F43" i="7" s="1"/>
  <c r="K12" i="22"/>
  <c r="N18" i="14"/>
  <c r="N21" i="14"/>
  <c r="N47" i="14"/>
  <c r="N15" i="23"/>
  <c r="E589" i="18"/>
  <c r="E602" i="18"/>
  <c r="E965" i="18"/>
  <c r="H14" i="15" s="1"/>
  <c r="E993" i="18"/>
  <c r="E1158" i="18"/>
  <c r="K10" i="22"/>
  <c r="N10" i="4"/>
  <c r="N13" i="4"/>
  <c r="H30" i="8"/>
  <c r="J25" i="7"/>
  <c r="K8" i="22"/>
  <c r="N17" i="4"/>
  <c r="D18" i="23"/>
  <c r="D19" i="23" s="1"/>
  <c r="J7" i="7"/>
  <c r="L6" i="7" s="1"/>
  <c r="H38" i="8"/>
  <c r="E18" i="23"/>
  <c r="E19" i="23" s="1"/>
  <c r="N13" i="14"/>
  <c r="N35" i="14"/>
  <c r="F18" i="23"/>
  <c r="F19" i="23" s="1"/>
  <c r="N21" i="4"/>
  <c r="G18" i="23"/>
  <c r="G19" i="23" s="1"/>
  <c r="N6" i="4"/>
  <c r="N18" i="4"/>
  <c r="N30" i="4"/>
  <c r="N34" i="4"/>
  <c r="N38" i="4"/>
  <c r="N15" i="4"/>
  <c r="H18" i="23"/>
  <c r="H19" i="23" s="1"/>
  <c r="H18" i="8"/>
  <c r="N9" i="4"/>
  <c r="N12" i="4"/>
  <c r="K18" i="23"/>
  <c r="K19" i="23" s="1"/>
  <c r="N22" i="4"/>
  <c r="G25" i="4"/>
  <c r="N25" i="4" s="1"/>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E23" i="4"/>
  <c r="N37" i="4"/>
  <c r="F17" i="12"/>
  <c r="F19" i="12" s="1"/>
  <c r="M18" i="23" a="1"/>
  <c r="M18" i="23" s="1"/>
  <c r="M19" i="23" s="1"/>
  <c r="J37" i="7" l="1"/>
  <c r="H12" i="24" s="1"/>
  <c r="H19" i="24"/>
  <c r="K19" i="24" s="1"/>
  <c r="H17" i="15"/>
  <c r="H23" i="15" s="1"/>
  <c r="E22" i="24"/>
  <c r="D17" i="15"/>
  <c r="D23" i="15" s="1"/>
  <c r="G42" i="4"/>
  <c r="L38" i="7"/>
  <c r="J24" i="15"/>
  <c r="J18" i="15"/>
  <c r="F17" i="15"/>
  <c r="G17" i="15"/>
  <c r="G23" i="15" s="1"/>
  <c r="D22" i="24"/>
  <c r="K13" i="22"/>
  <c r="F29" i="22" s="1"/>
  <c r="L40" i="7"/>
  <c r="F28" i="22"/>
  <c r="J15" i="15"/>
  <c r="E48" i="15"/>
  <c r="J45" i="7"/>
  <c r="L45" i="7" s="1"/>
  <c r="J22" i="15"/>
  <c r="L41" i="7"/>
  <c r="J21" i="15"/>
  <c r="E198" i="18"/>
  <c r="E25" i="15" s="1"/>
  <c r="I17" i="15"/>
  <c r="I23" i="15" s="1"/>
  <c r="F42" i="7"/>
  <c r="J13" i="15"/>
  <c r="L21" i="7"/>
  <c r="H42" i="7"/>
  <c r="E50" i="15"/>
  <c r="E93" i="18"/>
  <c r="D25" i="15" s="1"/>
  <c r="G42" i="7"/>
  <c r="D43" i="7"/>
  <c r="J43" i="7" s="1"/>
  <c r="Q34" i="2" s="1"/>
  <c r="E563" i="18"/>
  <c r="E1534" i="18"/>
  <c r="E42" i="7"/>
  <c r="J19" i="15"/>
  <c r="J46" i="7"/>
  <c r="L46" i="7" s="1"/>
  <c r="J42" i="4"/>
  <c r="N40" i="4"/>
  <c r="I42" i="7"/>
  <c r="I48" i="7" s="1"/>
  <c r="K23" i="24"/>
  <c r="N23" i="4"/>
  <c r="C22" i="24"/>
  <c r="C9" i="25" s="1"/>
  <c r="F42" i="4"/>
  <c r="E1369" i="18"/>
  <c r="E629" i="18"/>
  <c r="F24" i="15" s="1"/>
  <c r="L24" i="7"/>
  <c r="H22" i="24"/>
  <c r="E1201" i="18"/>
  <c r="I25" i="15" s="1"/>
  <c r="K42" i="4"/>
  <c r="J47" i="7" s="1"/>
  <c r="L47" i="7" s="1"/>
  <c r="E17" i="15"/>
  <c r="E23" i="15" s="1"/>
  <c r="J26" i="15"/>
  <c r="L39" i="7"/>
  <c r="F11" i="15"/>
  <c r="J16" i="15"/>
  <c r="J23" i="7"/>
  <c r="H11" i="24" s="1"/>
  <c r="E1036" i="18"/>
  <c r="H25" i="15" s="1"/>
  <c r="J11" i="15"/>
  <c r="H40" i="8"/>
  <c r="N44" i="14"/>
  <c r="N48" i="14" s="1"/>
  <c r="E721" i="18"/>
  <c r="G25" i="15" s="1"/>
  <c r="J14" i="15"/>
  <c r="D42" i="7"/>
  <c r="N22" i="14"/>
  <c r="N26" i="14" s="1"/>
  <c r="H20" i="24" s="1"/>
  <c r="K20" i="24" s="1"/>
  <c r="E1505" i="18"/>
  <c r="N19" i="23"/>
  <c r="F45" i="23" s="1"/>
  <c r="F46" i="23" s="1"/>
  <c r="N18" i="23"/>
  <c r="G12" i="24"/>
  <c r="K42" i="7"/>
  <c r="K48" i="7" s="1"/>
  <c r="E42" i="4"/>
  <c r="B22" i="24"/>
  <c r="F23" i="15" l="1"/>
  <c r="F30" i="22"/>
  <c r="D17" i="24"/>
  <c r="H18" i="24"/>
  <c r="K18" i="24" s="1"/>
  <c r="J17" i="15"/>
  <c r="J23" i="15" s="1"/>
  <c r="L23" i="7"/>
  <c r="P30" i="23"/>
  <c r="M30" i="23"/>
  <c r="L37" i="7"/>
  <c r="L43" i="7"/>
  <c r="J42" i="7"/>
  <c r="N30" i="23"/>
  <c r="J25" i="15"/>
  <c r="H21" i="24"/>
  <c r="K21" i="24" s="1"/>
  <c r="O48" i="14"/>
  <c r="O26" i="14"/>
  <c r="N42" i="4"/>
  <c r="F25" i="15"/>
  <c r="O30" i="23"/>
  <c r="L30" i="23"/>
  <c r="K22" i="24"/>
  <c r="Q33" i="2" l="1"/>
  <c r="H17" i="24"/>
  <c r="K17" i="24" s="1"/>
  <c r="C11" i="25" s="1"/>
  <c r="L42" i="7"/>
  <c r="J48" i="7"/>
  <c r="A12" i="17" s="1"/>
  <c r="B12" i="17" s="1"/>
  <c r="C14" i="25" l="1"/>
  <c r="C21" i="25" s="1"/>
  <c r="A15" i="17"/>
  <c r="B15" i="17" s="1"/>
  <c r="N9" i="7"/>
  <c r="B10" i="2" s="1"/>
  <c r="A10" i="17"/>
  <c r="B10" i="17" s="1"/>
  <c r="A14" i="17"/>
  <c r="B14" i="17" s="1"/>
  <c r="A6" i="17"/>
  <c r="B6" i="17" s="1"/>
  <c r="H33" i="6"/>
  <c r="B16" i="2" s="1"/>
  <c r="A7" i="17"/>
  <c r="B7" i="17" s="1"/>
  <c r="K10" i="12"/>
  <c r="B18" i="2" s="1"/>
  <c r="A13" i="17"/>
  <c r="B13" i="17" s="1"/>
  <c r="A4" i="17"/>
  <c r="B4" i="17" s="1"/>
  <c r="A3" i="17"/>
  <c r="B3" i="17" s="1"/>
  <c r="A16" i="17"/>
  <c r="B16" i="17" s="1"/>
  <c r="M12" i="22"/>
  <c r="B14" i="2" s="1"/>
  <c r="K11" i="12"/>
  <c r="L48" i="7"/>
  <c r="A8" i="17"/>
  <c r="B8" i="17" s="1"/>
  <c r="A5" i="17"/>
  <c r="B5" i="17" s="1"/>
  <c r="N10" i="7"/>
  <c r="B12" i="2" s="1"/>
  <c r="A9" i="17"/>
  <c r="B9" i="17" s="1"/>
  <c r="L2" i="2" l="1"/>
  <c r="L4" i="2" s="1"/>
  <c r="A1" i="1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<sst xmlns="http://schemas.openxmlformats.org/spreadsheetml/2006/main" count="6429" uniqueCount="1354">
  <si>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</si>
  <si>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</si>
  <si>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</si>
  <si>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</si>
  <si>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</si>
  <si>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</si>
  <si>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</si>
  <si>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</si>
  <si>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</si>
  <si>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</si>
  <si>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</si>
  <si>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</si>
  <si>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</si>
  <si>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</si>
  <si>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</si>
  <si>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</si>
  <si>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</si>
  <si>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</si>
  <si>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</si>
  <si>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</si>
  <si>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</si>
  <si>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</si>
  <si>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</si>
  <si>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</si>
  <si>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</si>
  <si>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</si>
  <si>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</si>
  <si>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</si>
  <si>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</si>
  <si>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</si>
  <si>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</si>
  <si>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</si>
  <si>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</si>
  <si>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</si>
  <si>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</si>
  <si>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</si>
  <si>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</si>
  <si>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</si>
  <si>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</si>
  <si>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</si>
  <si>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</si>
  <si>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</si>
  <si>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</si>
  <si>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</si>
  <si>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</si>
  <si>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</si>
  <si>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</si>
  <si>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</si>
  <si>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</si>
  <si>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</si>
  <si>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</si>
  <si>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</si>
  <si>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</si>
  <si>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</si>
  <si>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</si>
  <si>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</si>
  <si>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</si>
  <si>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</si>
  <si>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</si>
  <si>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</si>
  <si>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</si>
  <si>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</si>
  <si>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</si>
  <si>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</si>
  <si>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</si>
  <si>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</si>
  <si>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</si>
  <si>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</si>
  <si>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</si>
  <si>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</si>
  <si>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</si>
  <si>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</si>
  <si>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</si>
  <si>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</si>
  <si>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</si>
  <si>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</si>
  <si>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</si>
  <si>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</si>
  <si>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</si>
  <si>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</si>
  <si>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</si>
  <si>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</si>
  <si>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</si>
  <si>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</si>
  <si>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</si>
  <si>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</si>
  <si>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</si>
  <si>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</si>
  <si>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</si>
  <si>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</si>
  <si>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</si>
  <si>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</si>
  <si>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</si>
  <si>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</si>
  <si>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</si>
  <si>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</si>
  <si>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</si>
  <si>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</si>
  <si>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</si>
  <si>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</si>
  <si>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</si>
  <si>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</si>
  <si>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</si>
  <si>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</si>
  <si>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</si>
  <si>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</si>
  <si>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</si>
  <si>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</si>
  <si>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</si>
  <si>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</si>
  <si>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</si>
  <si>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</si>
  <si>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</si>
  <si>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</si>
  <si>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</si>
  <si>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</si>
  <si>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</si>
  <si>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</si>
  <si>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</si>
  <si>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</si>
  <si>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</si>
  <si>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</si>
  <si>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</si>
  <si>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</si>
  <si>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</si>
  <si>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</si>
  <si>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</si>
  <si>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</si>
  <si>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</si>
  <si>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</si>
  <si>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</si>
  <si>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</si>
  <si>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</si>
  <si>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</si>
  <si>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</si>
  <si>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</si>
  <si>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</si>
  <si>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</si>
  <si>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</si>
  <si>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</si>
  <si>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</si>
  <si>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</si>
  <si>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</si>
  <si>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</si>
  <si>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</si>
  <si>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</si>
  <si>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</si>
  <si>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</si>
  <si>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</si>
  <si>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</si>
  <si>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</si>
  <si>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</si>
  <si>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</si>
  <si>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</si>
  <si>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</si>
  <si>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</si>
  <si>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</si>
  <si>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</si>
  <si>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</si>
  <si>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</si>
  <si>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</si>
  <si>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</si>
  <si>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</si>
  <si>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</si>
  <si>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</si>
  <si>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</si>
  <si>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</si>
  <si>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</si>
  <si>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</si>
  <si>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</si>
  <si>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</si>
  <si>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</si>
  <si>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</si>
  <si>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</si>
  <si>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</si>
  <si>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</si>
  <si>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</si>
  <si>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</si>
  <si>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</si>
  <si>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</si>
  <si>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</si>
  <si>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</si>
  <si>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</si>
  <si>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</si>
  <si>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</si>
  <si>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</si>
  <si>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</si>
  <si>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</si>
  <si>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</si>
  <si>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</si>
  <si>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</si>
  <si>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</si>
  <si>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</si>
  <si>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</si>
  <si>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</si>
  <si>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</si>
  <si>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</si>
  <si>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</si>
  <si>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</si>
  <si>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</si>
  <si>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</si>
  <si>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</si>
  <si>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</si>
  <si>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</si>
  <si>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</si>
  <si>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</si>
  <si>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</si>
  <si>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</si>
  <si>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</si>
  <si>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</si>
  <si>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</si>
  <si>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</si>
  <si>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</si>
  <si>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</si>
  <si>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</si>
  <si>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</si>
  <si>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</si>
  <si>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</si>
  <si>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</si>
  <si>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</si>
  <si>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</si>
  <si>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</si>
  <si>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</si>
  <si>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</si>
  <si>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</si>
  <si>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</si>
  <si>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</si>
  <si>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</si>
  <si>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</si>
  <si>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</si>
  <si>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</si>
  <si>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</si>
  <si>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</si>
  <si>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</si>
  <si>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</si>
  <si>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</si>
  <si>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</si>
  <si>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</si>
  <si>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</si>
  <si>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</si>
  <si>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</si>
  <si>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</si>
  <si>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</si>
  <si>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</si>
  <si>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</si>
  <si>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</si>
  <si>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</si>
  <si>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</si>
  <si>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</si>
  <si>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</si>
  <si>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</si>
  <si>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</si>
  <si>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</si>
  <si>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</si>
  <si>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</si>
  <si>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</si>
  <si>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</si>
  <si>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</si>
  <si>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</si>
  <si>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</si>
  <si>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</si>
  <si>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</si>
  <si>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</si>
  <si>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</si>
  <si>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</si>
  <si>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</si>
  <si>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</si>
  <si>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</si>
  <si>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</si>
  <si>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</si>
  <si>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</si>
  <si>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</si>
  <si>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</si>
  <si>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</si>
  <si>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</si>
  <si>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</si>
  <si>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</si>
  <si>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</si>
  <si>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</si>
  <si>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</si>
  <si>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</si>
  <si>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</si>
  <si>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</si>
  <si>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</si>
  <si>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</si>
  <si>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</si>
  <si>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</si>
  <si>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</si>
  <si>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</si>
  <si>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</si>
  <si>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</si>
  <si>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</si>
  <si>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</si>
  <si>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</si>
  <si>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</si>
  <si>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</si>
  <si>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</si>
  <si>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</si>
  <si>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</si>
  <si>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</si>
  <si>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</si>
  <si>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</si>
  <si>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</si>
  <si>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</si>
  <si>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</si>
  <si>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</si>
  <si>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</si>
  <si>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</si>
  <si>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</si>
  <si>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</si>
  <si>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</si>
  <si>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</si>
  <si>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</si>
  <si>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</si>
  <si>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</si>
  <si>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</si>
  <si>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</si>
  <si>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</si>
  <si>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</si>
  <si>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</si>
  <si>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</si>
  <si>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</si>
  <si>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</si>
  <si>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</si>
  <si>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</si>
  <si>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</si>
  <si>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</si>
  <si>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</si>
  <si>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</si>
  <si>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</si>
  <si>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</si>
  <si>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</si>
  <si>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</si>
  <si>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</si>
  <si>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</si>
  <si>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</si>
  <si>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</si>
  <si>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</si>
  <si>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</si>
  <si>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</si>
  <si>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</si>
  <si>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</si>
  <si>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</si>
  <si>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</si>
  <si>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</si>
  <si>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</si>
  <si>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</si>
  <si>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</si>
  <si>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</si>
  <si>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</si>
  <si>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</si>
  <si>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</si>
  <si>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</si>
  <si>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</si>
  <si>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</si>
  <si>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</si>
  <si>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</si>
  <si>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</si>
  <si>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</si>
  <si>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</si>
  <si>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</si>
  <si>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</si>
  <si>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</si>
  <si>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</si>
  <si>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</si>
  <si>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</si>
  <si>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</si>
  <si>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</si>
  <si>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</si>
  <si>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</si>
  <si>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</si>
  <si>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</si>
  <si>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</si>
  <si>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</si>
  <si>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</si>
  <si>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</si>
  <si>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</si>
  <si>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</si>
  <si>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</si>
  <si>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</si>
  <si>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</si>
  <si>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</si>
  <si>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</si>
  <si>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</si>
  <si>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</si>
  <si>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</si>
  <si>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</si>
  <si>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</si>
  <si>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</si>
  <si>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</si>
  <si>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</si>
  <si>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</si>
  <si>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</si>
  <si>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</si>
  <si>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</si>
  <si>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</si>
  <si>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</si>
  <si>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</si>
  <si>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</si>
  <si>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</si>
  <si>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</si>
  <si>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</si>
  <si>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</si>
  <si>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</si>
  <si>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</si>
  <si>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</si>
  <si>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</si>
  <si>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</si>
  <si>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</si>
  <si>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</si>
  <si>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</si>
  <si>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</si>
  <si>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</si>
  <si>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</si>
  <si>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</si>
  <si>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</si>
  <si>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</si>
  <si>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</si>
  <si>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</si>
  <si>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</si>
  <si>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</si>
  <si>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</si>
  <si>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</si>
  <si>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</si>
  <si>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</si>
  <si>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</si>
  <si>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</si>
  <si>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</si>
  <si>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</si>
  <si>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</si>
  <si>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</si>
  <si>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</si>
  <si>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</si>
  <si>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</si>
  <si>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</si>
  <si>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</si>
  <si>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</si>
  <si>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</si>
  <si>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</si>
  <si>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</si>
  <si>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</si>
  <si>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</si>
  <si>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</si>
  <si>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</si>
  <si>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</si>
  <si>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</si>
  <si>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</si>
  <si>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</si>
  <si>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</si>
  <si>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</si>
  <si>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</si>
  <si>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</si>
  <si>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</si>
  <si>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</si>
  <si>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</si>
  <si>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</si>
  <si>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</si>
  <si>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</si>
  <si>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</si>
  <si>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</si>
  <si>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</si>
  <si>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</si>
  <si>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</si>
  <si>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</si>
  <si>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</si>
  <si>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</si>
  <si>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</si>
  <si>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</si>
  <si>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</si>
  <si>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</si>
  <si>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</si>
  <si>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</si>
  <si>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</si>
  <si>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</si>
  <si>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</si>
  <si>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</si>
  <si>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</si>
  <si>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</si>
  <si>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</si>
  <si>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</si>
  <si>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</si>
  <si>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</si>
  <si>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</si>
  <si>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</si>
  <si>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</si>
  <si>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</si>
  <si>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</si>
  <si>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</si>
  <si>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</si>
  <si>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</si>
  <si>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</si>
  <si>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</si>
  <si>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</si>
  <si>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</si>
  <si>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</si>
  <si>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</si>
  <si>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</si>
  <si>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</si>
  <si>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</si>
  <si>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</si>
  <si>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</si>
  <si>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</si>
  <si>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</si>
  <si>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</si>
  <si>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</si>
  <si>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</si>
  <si>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</si>
  <si>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</si>
  <si>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</si>
  <si>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</si>
  <si>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</si>
  <si>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</si>
  <si>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</si>
  <si>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</si>
  <si>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</si>
  <si>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</si>
  <si>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</si>
  <si>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</si>
  <si>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</si>
  <si>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</si>
  <si>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</si>
  <si>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</si>
  <si>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</si>
  <si>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</si>
  <si>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</si>
  <si>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</si>
  <si>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</si>
  <si>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</si>
  <si>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</si>
  <si>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</si>
  <si>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</si>
  <si>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</si>
  <si>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</si>
  <si>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</si>
  <si>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</si>
  <si>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</si>
  <si>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</si>
  <si>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</si>
  <si>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</si>
  <si>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</si>
  <si>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</si>
  <si>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</si>
  <si>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</si>
  <si>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</si>
  <si>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</si>
  <si>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</si>
  <si>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</si>
  <si>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</si>
  <si>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</si>
  <si>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</si>
  <si>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</si>
  <si>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</si>
  <si>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</si>
  <si>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</si>
  <si>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</si>
  <si>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</si>
  <si>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</si>
  <si>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</si>
  <si>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</si>
  <si>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</si>
  <si>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</si>
  <si>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</si>
  <si>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</si>
  <si>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</si>
  <si>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</si>
  <si>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</si>
  <si>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</si>
  <si>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</si>
  <si>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</si>
  <si>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</si>
  <si>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</si>
  <si>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</si>
  <si>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</si>
  <si>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</si>
  <si>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</si>
  <si>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</si>
  <si>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</si>
  <si>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</si>
  <si>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</si>
  <si>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</si>
  <si>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</si>
  <si>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</si>
  <si>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</si>
  <si>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</si>
  <si>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</si>
  <si>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</si>
  <si>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</si>
  <si>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</si>
  <si>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</si>
  <si>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</si>
  <si>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</si>
  <si>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</si>
  <si>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</si>
  <si>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</si>
  <si>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</si>
  <si>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</si>
  <si>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</si>
  <si>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</si>
  <si>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</si>
  <si>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</si>
  <si>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</si>
  <si>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</si>
  <si>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</si>
  <si>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</si>
  <si>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</si>
  <si>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</si>
  <si>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</si>
  <si>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</si>
  <si>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</si>
  <si>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</si>
  <si>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</si>
  <si>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</si>
  <si>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</si>
  <si>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</si>
  <si>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</si>
  <si>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</si>
  <si>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</si>
  <si>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</si>
  <si>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</si>
  <si>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</si>
  <si>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</si>
  <si>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</si>
  <si>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</si>
  <si>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</si>
  <si>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</si>
  <si>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</si>
  <si>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</si>
  <si>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</si>
  <si>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</si>
  <si>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</si>
  <si>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</si>
  <si>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</si>
  <si>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</si>
  <si>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</si>
  <si>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</si>
  <si>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</si>
  <si>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</si>
  <si>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</si>
  <si>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</si>
  <si>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</si>
  <si>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</si>
  <si>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</si>
  <si>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</si>
  <si>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</si>
  <si>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</si>
  <si>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</si>
  <si>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</si>
  <si>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</si>
  <si>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</si>
  <si>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</si>
  <si>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</si>
  <si>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</si>
  <si>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</si>
  <si>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</si>
  <si>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</si>
  <si>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</si>
  <si>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</si>
  <si>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</si>
  <si>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</si>
  <si>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</si>
  <si>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</si>
  <si>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</si>
  <si>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</si>
  <si>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</si>
  <si>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</si>
  <si>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</si>
  <si>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</si>
  <si>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</si>
  <si>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</si>
  <si>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</si>
  <si>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</si>
  <si>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</si>
  <si>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</si>
  <si>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</si>
  <si>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</si>
  <si>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</si>
  <si>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</si>
  <si>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</si>
  <si>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</si>
  <si>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</si>
  <si>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</si>
  <si>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</si>
  <si>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</si>
  <si>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</si>
  <si>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</si>
  <si>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</si>
  <si>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</si>
  <si>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</si>
  <si>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</si>
  <si>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</si>
  <si>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</si>
  <si>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</si>
  <si>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</si>
  <si>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</si>
  <si>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</si>
  <si>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</si>
  <si>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</si>
  <si>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</si>
  <si>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</si>
  <si>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</si>
  <si>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</si>
  <si>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</si>
  <si>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</si>
  <si>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</si>
  <si>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</si>
  <si>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</si>
  <si>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</si>
  <si>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</si>
  <si>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</si>
  <si>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</si>
  <si>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</si>
  <si>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</si>
  <si>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</si>
  <si>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</si>
  <si>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</si>
  <si>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</si>
  <si>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</si>
  <si>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</si>
  <si>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</si>
  <si>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</si>
  <si>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</si>
  <si>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</si>
  <si>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</si>
  <si>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</si>
  <si>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</si>
  <si>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</si>
  <si>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</si>
  <si>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</si>
  <si>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</si>
  <si>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</si>
  <si>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</si>
  <si>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</si>
  <si>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</si>
  <si>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</si>
  <si>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</si>
  <si>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</si>
  <si>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</si>
  <si>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</si>
  <si>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</si>
  <si>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</si>
  <si>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</si>
  <si>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</si>
  <si>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</si>
  <si>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</si>
  <si>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</si>
  <si>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</si>
  <si>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</si>
  <si>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</si>
  <si>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</si>
  <si>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</si>
  <si>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</si>
  <si>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</si>
  <si>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</si>
  <si>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</si>
  <si>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</si>
  <si>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</si>
  <si>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</si>
  <si>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</si>
  <si>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</si>
  <si>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</si>
  <si>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</si>
  <si>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</si>
  <si>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</si>
  <si>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</si>
  <si>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</si>
  <si>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</si>
  <si>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</si>
  <si>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</si>
  <si>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</si>
  <si>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</si>
  <si>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</si>
  <si>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</si>
  <si>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</si>
  <si>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</si>
  <si>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</si>
  <si>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</si>
  <si>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</si>
  <si>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</si>
  <si>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</si>
  <si>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</si>
  <si>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</si>
  <si>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</si>
  <si>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</si>
  <si>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</si>
  <si>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</si>
  <si>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</si>
  <si>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</si>
  <si>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</si>
  <si>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</si>
  <si>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</si>
  <si>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</si>
  <si>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</si>
  <si>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</si>
  <si>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</si>
  <si>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</si>
  <si>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</si>
  <si>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</si>
  <si>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</si>
  <si>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</si>
  <si>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</si>
  <si>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</si>
  <si>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</si>
  <si>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</si>
  <si>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</si>
  <si>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</si>
  <si>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</si>
  <si>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</si>
  <si>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</si>
  <si>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</si>
  <si>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</si>
  <si>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</si>
  <si>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</si>
  <si>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</si>
  <si>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</si>
  <si>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</si>
  <si>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</si>
  <si>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</si>
  <si>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</si>
  <si>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</si>
  <si>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</si>
  <si>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</si>
  <si>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</si>
  <si>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</si>
  <si>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</si>
  <si>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</si>
  <si>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</si>
  <si>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</si>
  <si>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</si>
  <si>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</si>
  <si>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</si>
  <si>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</si>
  <si>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</si>
  <si>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</si>
  <si>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</si>
  <si>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</si>
  <si>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</si>
  <si>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</si>
  <si>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</si>
  <si>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</si>
  <si>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</si>
  <si>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</si>
  <si>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</si>
  <si>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</si>
  <si>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</si>
  <si>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</si>
  <si>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</si>
  <si>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</si>
  <si>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</si>
  <si>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</si>
  <si>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</si>
  <si>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</si>
  <si>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</si>
  <si>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</si>
  <si>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</si>
  <si>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</si>
  <si>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</si>
  <si>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</si>
  <si>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</si>
  <si>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</si>
  <si>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</si>
  <si>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</si>
  <si>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</si>
  <si>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</si>
  <si>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</si>
  <si>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</si>
  <si>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</si>
  <si>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</si>
  <si>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</si>
  <si>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</si>
  <si>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</si>
  <si>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</si>
  <si>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</si>
  <si>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</si>
  <si>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</si>
  <si>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</si>
  <si>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</si>
  <si>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</si>
  <si>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</si>
  <si>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</si>
  <si>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</si>
  <si>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</si>
  <si>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</si>
  <si>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</si>
  <si>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</si>
  <si>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</si>
  <si>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</si>
  <si>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</si>
  <si>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</si>
  <si>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</si>
  <si>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</si>
  <si>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</si>
  <si>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</si>
  <si>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</si>
  <si>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</si>
  <si>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</si>
  <si>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</si>
  <si>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</si>
  <si>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</si>
  <si>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</si>
  <si>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</si>
  <si>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</si>
  <si>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</si>
  <si>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</si>
  <si>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</si>
  <si>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</si>
  <si>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</si>
  <si>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</si>
  <si>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</si>
  <si>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</si>
  <si>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</si>
  <si>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</si>
  <si>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</si>
  <si>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</si>
  <si>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</si>
  <si>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</si>
  <si>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</si>
  <si>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</si>
  <si>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</si>
  <si>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</si>
  <si>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</si>
  <si>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</si>
  <si>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</si>
  <si>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</si>
  <si>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</si>
  <si>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</si>
  <si>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</si>
  <si>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</si>
  <si>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</si>
  <si>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</si>
  <si>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</si>
  <si>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</si>
  <si>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</si>
  <si>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</si>
  <si>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</si>
  <si>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</si>
  <si>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</si>
  <si>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</si>
  <si>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</si>
  <si>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</si>
  <si>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</si>
  <si>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</si>
  <si>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</si>
  <si>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</si>
  <si>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</si>
  <si>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</si>
  <si>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</si>
  <si>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</si>
  <si>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</si>
  <si>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</si>
  <si>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</si>
  <si>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</si>
  <si>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</si>
  <si>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</si>
  <si>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</si>
  <si>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</si>
  <si>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</si>
  <si>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</si>
  <si>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</si>
  <si>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</si>
  <si>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</si>
  <si>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</si>
  <si>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</si>
  <si>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</si>
  <si>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</si>
  <si>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</si>
  <si>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</si>
  <si>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</si>
  <si>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</si>
  <si>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</si>
  <si>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</si>
  <si>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</si>
  <si>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</si>
  <si>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</si>
  <si>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</si>
  <si>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</si>
  <si>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</si>
  <si>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</si>
  <si>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</si>
  <si>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</si>
  <si>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</si>
  <si>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</si>
  <si>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</si>
  <si>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</si>
  <si>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</si>
  <si>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</si>
  <si>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</si>
  <si>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</si>
  <si>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</si>
  <si>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</si>
  <si>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</si>
  <si>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</si>
  <si>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</si>
  <si>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</si>
  <si>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</si>
  <si>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</si>
  <si>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</si>
  <si>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</si>
  <si>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</si>
  <si>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</si>
  <si>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</si>
  <si>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</si>
  <si>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</si>
  <si>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</si>
  <si>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</si>
  <si>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</si>
  <si>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</si>
  <si>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</si>
  <si>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</si>
  <si>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</si>
  <si>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</si>
  <si>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</si>
  <si>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</si>
  <si>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</si>
  <si>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</si>
  <si>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</si>
  <si>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</si>
  <si>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</si>
  <si>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</si>
  <si>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</si>
  <si>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</si>
  <si>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</si>
  <si>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</si>
  <si>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</si>
  <si>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</si>
  <si>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</si>
  <si>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</si>
  <si>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</si>
  <si>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</si>
  <si>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</si>
  <si>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</si>
  <si>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</si>
  <si>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</si>
  <si>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</si>
  <si>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</si>
  <si>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</si>
  <si>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</si>
  <si>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</si>
  <si>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</si>
  <si>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</si>
  <si>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</si>
  <si>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</si>
  <si>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</si>
  <si>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</si>
  <si>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</si>
  <si>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</si>
  <si>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</si>
  <si>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</si>
  <si>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</si>
  <si>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</si>
  <si>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</si>
  <si>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</si>
  <si>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</si>
  <si>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</si>
  <si>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</si>
  <si>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</si>
  <si>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</si>
  <si>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</si>
  <si>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</si>
  <si>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</si>
  <si>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</si>
  <si>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</si>
  <si>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</si>
  <si>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</si>
  <si>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</si>
  <si>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</si>
  <si>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</si>
  <si>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</si>
  <si>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</si>
  <si>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</si>
  <si>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</si>
  <si>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</si>
  <si>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</si>
  <si>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</si>
  <si>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</si>
  <si>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</si>
  <si>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</si>
  <si>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</si>
  <si>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</si>
  <si>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</si>
  <si>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</si>
  <si>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</si>
  <si>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</si>
  <si>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</si>
  <si>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</si>
  <si>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</si>
  <si>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</si>
  <si>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</si>
  <si>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</si>
  <si>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</si>
  <si>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</si>
  <si>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</si>
  <si>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</si>
  <si>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</si>
  <si>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</si>
  <si>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</si>
  <si>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</si>
  <si>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</si>
  <si>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</si>
  <si>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</si>
  <si>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</si>
  <si>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</si>
  <si>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</si>
  <si>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</si>
  <si>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</si>
  <si>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</si>
  <si>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</si>
  <si>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</si>
  <si>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</si>
  <si>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</si>
  <si>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</si>
  <si>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</si>
  <si>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</si>
  <si>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</si>
  <si>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</si>
  <si>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</si>
  <si>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</si>
  <si>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</si>
  <si>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</si>
  <si>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</si>
  <si>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</si>
  <si>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</si>
  <si>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</si>
  <si>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</si>
  <si>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</si>
  <si>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</si>
  <si>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</si>
  <si>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</si>
  <si>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</si>
  <si>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</si>
  <si>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</si>
  <si>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</si>
  <si>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</si>
  <si>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</si>
  <si>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</si>
  <si>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</si>
  <si>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</si>
  <si>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</si>
  <si>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</si>
  <si>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</si>
  <si>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</si>
  <si>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</si>
  <si>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</si>
  <si>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</si>
  <si>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</si>
  <si>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</si>
  <si>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</si>
  <si>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</si>
  <si>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</si>
  <si>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</si>
  <si>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</si>
  <si>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</si>
  <si>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</si>
  <si>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</si>
  <si>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</si>
  <si>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</si>
  <si>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</si>
  <si>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</si>
  <si>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</si>
  <si>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</si>
  <si>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</si>
  <si>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</si>
  <si>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</si>
  <si>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</si>
  <si>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</si>
  <si>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</si>
  <si>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</si>
  <si>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</si>
  <si>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</si>
  <si>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</si>
  <si>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</si>
  <si>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</si>
  <si>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</si>
  <si>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</si>
  <si>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</si>
  <si>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</si>
  <si>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</si>
  <si>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</si>
  <si>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</si>
  <si>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</si>
  <si>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</si>
  <si>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</si>
  <si>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</si>
  <si>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</si>
  <si>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</si>
  <si>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</si>
  <si>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</si>
  <si>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</si>
  <si>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</si>
  <si>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</si>
  <si>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</si>
  <si>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</si>
  <si>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</si>
  <si>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</si>
  <si>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</si>
  <si>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</si>
  <si>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</si>
  <si>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</si>
  <si>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</si>
  <si>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</si>
  <si>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</si>
  <si>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</si>
  <si>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</si>
  <si>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</si>
  <si>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</si>
  <si>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</si>
  <si>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</si>
  <si>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</si>
  <si>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</si>
  <si>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</si>
  <si>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</si>
  <si>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</si>
  <si>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</si>
  <si>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</si>
  <si>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</si>
  <si>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</si>
  <si>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</si>
  <si>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</si>
  <si>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</si>
  <si>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</si>
  <si>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</si>
  <si>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</si>
  <si>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</si>
  <si>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</si>
  <si>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</si>
  <si>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</si>
  <si>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</si>
  <si>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</si>
  <si>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</si>
  <si>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</si>
  <si>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</si>
  <si>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</si>
  <si>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</si>
  <si>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</si>
  <si>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</si>
  <si>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</si>
  <si>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</si>
  <si>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</si>
  <si>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</si>
  <si>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</si>
  <si>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</si>
  <si>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</si>
  <si>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</si>
  <si>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Account</t>
  </si>
  <si>
    <t>Fund</t>
  </si>
  <si>
    <t>1100-1005</t>
  </si>
  <si>
    <t>1100-1006</t>
  </si>
  <si>
    <t>1591-1002</t>
  </si>
  <si>
    <t>1591-1005</t>
  </si>
  <si>
    <t>Interest Income</t>
  </si>
  <si>
    <t>Daily Sales - Food Service to Students</t>
  </si>
  <si>
    <t>Student Activities Fees</t>
  </si>
  <si>
    <t>Revenue from Enterprise Activities</t>
  </si>
  <si>
    <t>Tax Credit Donation - Unrestircted</t>
  </si>
  <si>
    <t>Tax Credit Donation - Restircted</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</si>
  <si>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</si>
  <si>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</si>
  <si>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</si>
  <si>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</si>
  <si>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</si>
  <si>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</si>
  <si>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</si>
  <si>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</si>
  <si>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ESEN</t>
  </si>
  <si>
    <t>Title I</t>
  </si>
  <si>
    <t>Title III - ELL</t>
  </si>
  <si>
    <t>IDEA</t>
  </si>
  <si>
    <t>ARP-HCY (Homeless Children and Youth)</t>
  </si>
  <si>
    <t>ESF(Education Stabilization Fund)</t>
  </si>
  <si>
    <t>Education for Homeless Children &amp; Youth - Mini grant</t>
  </si>
  <si>
    <t>NSLP(National School Lunch Program)</t>
  </si>
  <si>
    <t>CACFP(Child and Adult Care Food Program)</t>
  </si>
  <si>
    <t>SBP(School Breakfast Program)</t>
  </si>
  <si>
    <t>USDA Credit</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</si>
  <si>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</si>
  <si>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</si>
  <si>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</si>
  <si>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</si>
  <si>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</si>
  <si>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</si>
  <si>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</si>
  <si>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</si>
  <si>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</si>
  <si>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</si>
  <si>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</si>
  <si>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</si>
  <si>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</si>
  <si>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</si>
  <si>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</si>
  <si>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</si>
  <si>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</si>
  <si>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</si>
  <si>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</si>
  <si>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</si>
  <si>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</si>
  <si>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</si>
  <si>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</si>
  <si>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</si>
  <si>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</si>
  <si>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</si>
  <si>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</si>
  <si>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</si>
  <si>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</si>
  <si>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</si>
  <si>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</si>
  <si>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</si>
  <si>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</si>
  <si>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</si>
  <si>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</si>
  <si>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</si>
  <si>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</si>
  <si>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Grounds Care</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</si>
  <si>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</si>
  <si>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</si>
  <si>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</si>
  <si>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</si>
  <si>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</si>
  <si>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</si>
  <si>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</si>
  <si>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</si>
  <si>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</si>
  <si>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</si>
  <si>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Tuition</t>
  </si>
  <si>
    <t>Travel - Other</t>
  </si>
  <si>
    <t>Travel - Mileage Reimbursement</t>
  </si>
  <si>
    <t>Field Trips</t>
  </si>
  <si>
    <t>General Supplies</t>
  </si>
  <si>
    <t>Health Office Supplies</t>
  </si>
  <si>
    <t>Testing and Assessment</t>
  </si>
  <si>
    <t>Natural Gas</t>
  </si>
  <si>
    <t>Electricity</t>
  </si>
  <si>
    <t>Food - USDA Commodities (Excluding Freight)</t>
  </si>
  <si>
    <t>Food - USDA Commodities (Freight Only)</t>
  </si>
  <si>
    <t>Food - Reimbursable Meals</t>
  </si>
  <si>
    <t>Food - Ala Carte</t>
  </si>
  <si>
    <t>Instructional Materials/Software</t>
  </si>
  <si>
    <t>Textbooks</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</si>
  <si>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</si>
  <si>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</si>
  <si>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</si>
  <si>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</si>
  <si>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</si>
  <si>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</si>
  <si>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</si>
  <si>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</si>
  <si>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</si>
  <si>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</si>
  <si>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ASU Preparatory Academy - Phoenix Middle School</t>
  </si>
  <si>
    <t>Maricopa</t>
  </si>
  <si>
    <t>078250000</t>
  </si>
  <si>
    <t>N/A</t>
  </si>
  <si>
    <t xml:space="preserve">The surplus of this charter will offset the deficits of other charters in FY24.  As a network of charters we anticipate minimal funds carrying over from FY24 to FY25 and plan for a balanced budget for FY25 and beyond. </t>
  </si>
  <si>
    <t>Jill Rogier</t>
  </si>
  <si>
    <t>jrogier@asu.edu</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</si>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</sst>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5" x14ac:knownFonts="1">
    <font>
      <sz val="10"/>
      <name val="Times New Roman"/>
      <family val="2"/>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3"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7" fillId="0" borderId="0" applyNumberFormat="0" applyFill="0" applyBorder="0">
      <protection locked="0"/>
    </xf>
    <xf numFmtId="0" fontId="3" fillId="0" borderId="0"/>
    <xf numFmtId="0" fontId="14" fillId="0" borderId="0" applyFont="0" applyBorder="0"/>
    <xf numFmtId="0" fontId="2" fillId="0" borderId="0"/>
    <xf numFmtId="0" fontId="2" fillId="0" borderId="0"/>
    <xf numFmtId="0" fontId="3" fillId="0" borderId="0"/>
    <xf numFmtId="0" fontId="47" fillId="0" borderId="0" applyNumberFormat="0" applyFill="0" applyBorder="0">
      <protection locked="0"/>
    </xf>
    <xf numFmtId="0" fontId="63" fillId="0" borderId="0"/>
    <xf numFmtId="0" fontId="7" fillId="0" borderId="0" applyNumberFormat="0" applyFill="0" applyBorder="0">
      <protection locked="0"/>
    </xf>
  </cellStyleXfs>
  <cellXfs count="897">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16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3" fillId="0" borderId="0" xfId="7" applyProtection="1">
      <protection locked="0"/>
    </xf>
    <xf numFmtId="0" fontId="3" fillId="0" borderId="0" xfId="7" applyAlignment="1" applyProtection="1">
      <alignment horizontal="left" vertical="top"/>
      <protection locked="0"/>
    </xf>
    <xf numFmtId="0" fontId="3" fillId="0" borderId="0" xfId="7" applyAlignment="1" applyProtection="1">
      <alignment horizontal="left" vertical="top" wrapText="1"/>
      <protection locked="0"/>
    </xf>
    <xf numFmtId="0" fontId="3" fillId="0" borderId="0" xfId="7"/>
    <xf numFmtId="0" fontId="3" fillId="3" borderId="2" xfId="7" applyFill="1" applyBorder="1" applyAlignment="1" applyProtection="1">
      <alignment horizontal="left" vertical="top"/>
      <protection locked="0"/>
    </xf>
    <xf numFmtId="49" fontId="40" fillId="0" borderId="0" xfId="7" applyNumberFormat="1" applyFont="1" applyProtection="1">
      <protection locked="0"/>
    </xf>
    <xf numFmtId="0" fontId="39" fillId="2" borderId="2" xfId="7" applyFont="1" applyFill="1" applyBorder="1" applyAlignment="1" applyProtection="1">
      <alignment horizontal="center"/>
      <protection locked="0"/>
    </xf>
    <xf numFmtId="0" fontId="3" fillId="3" borderId="0" xfId="7" applyFill="1" applyProtection="1">
      <protection locked="0"/>
    </xf>
    <xf numFmtId="0" fontId="3" fillId="3" borderId="0" xfId="7" applyFill="1" applyAlignment="1" applyProtection="1">
      <alignment horizontal="left" vertical="top"/>
      <protection locked="0"/>
    </xf>
    <xf numFmtId="0" fontId="3"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4"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5" borderId="1" xfId="10" quotePrefix="1"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5"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1"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1"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3"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4" fillId="0" borderId="0" xfId="0" applyFont="1" applyAlignment="1">
      <alignment horizontal="right"/>
    </xf>
    <xf numFmtId="0" fontId="4" fillId="0" borderId="1" xfId="0" applyFont="1" applyBorder="1" applyAlignment="1">
      <alignment horizontal="center"/>
    </xf>
    <xf numFmtId="0" fontId="5"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5"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5"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4" fillId="0" borderId="16" xfId="0" applyFont="1" applyBorder="1"/>
    <xf numFmtId="0" fontId="0" fillId="0" borderId="17" xfId="0" applyBorder="1"/>
    <xf numFmtId="0" fontId="0" fillId="0" borderId="5" xfId="0" applyBorder="1" applyAlignment="1">
      <alignment horizontal="center"/>
    </xf>
    <xf numFmtId="0" fontId="4"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4"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4" fillId="0" borderId="3" xfId="0" applyNumberFormat="1" applyFont="1" applyBorder="1"/>
    <xf numFmtId="0" fontId="6"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4"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4" fillId="0" borderId="3" xfId="0" applyFont="1" applyBorder="1" applyAlignment="1">
      <alignment vertical="center"/>
    </xf>
    <xf numFmtId="0" fontId="4" fillId="0" borderId="12" xfId="0" applyFont="1" applyBorder="1" applyAlignment="1">
      <alignment vertical="center"/>
    </xf>
    <xf numFmtId="0" fontId="4" fillId="0" borderId="7" xfId="0" applyFont="1" applyBorder="1" applyAlignment="1">
      <alignment vertical="center"/>
    </xf>
    <xf numFmtId="0" fontId="4" fillId="0" borderId="2" xfId="0" applyFont="1" applyBorder="1" applyAlignment="1">
      <alignment vertical="center"/>
    </xf>
    <xf numFmtId="0" fontId="4" fillId="0" borderId="0" xfId="0" applyFont="1" applyAlignment="1">
      <alignment vertical="center"/>
    </xf>
    <xf numFmtId="0" fontId="44"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9"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4"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5" fillId="0" borderId="10" xfId="0" applyFont="1" applyBorder="1" applyAlignment="1">
      <alignment horizontal="center" wrapText="1"/>
    </xf>
    <xf numFmtId="0" fontId="5" fillId="0" borderId="15" xfId="0" applyFont="1" applyBorder="1" applyAlignment="1">
      <alignment horizontal="center" wrapText="1"/>
    </xf>
    <xf numFmtId="0" fontId="5"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7" fillId="6" borderId="0" xfId="6" applyFill="1" applyProtection="1"/>
    <xf numFmtId="0" fontId="6" fillId="0" borderId="0" xfId="0" applyFont="1"/>
    <xf numFmtId="37" fontId="0" fillId="0" borderId="19" xfId="0" applyNumberFormat="1" applyBorder="1"/>
    <xf numFmtId="49" fontId="16"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3"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1" fillId="6" borderId="1" xfId="6" applyFont="1" applyFill="1" applyBorder="1" applyAlignment="1" applyProtection="1">
      <alignment horizontal="center" wrapText="1"/>
    </xf>
    <xf numFmtId="0" fontId="11"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4" fillId="5" borderId="0" xfId="0" applyNumberFormat="1" applyFont="1" applyFill="1"/>
    <xf numFmtId="168" fontId="30" fillId="0" borderId="0" xfId="6" applyNumberFormat="1" applyFont="1" applyFill="1" applyProtection="1"/>
    <xf numFmtId="168" fontId="15"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4"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7"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7"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33"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4"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1"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4" fillId="6" borderId="4" xfId="10" applyFont="1" applyFill="1" applyBorder="1"/>
    <xf numFmtId="0" fontId="4"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4" fillId="0" borderId="0" xfId="13" applyFont="1"/>
    <xf numFmtId="0" fontId="63" fillId="0" borderId="0" xfId="13"/>
    <xf numFmtId="168" fontId="4" fillId="5" borderId="0" xfId="13" applyNumberFormat="1" applyFont="1" applyFill="1" applyAlignment="1">
      <alignment horizontal="left"/>
    </xf>
    <xf numFmtId="0" fontId="11" fillId="6" borderId="0" xfId="6" applyFont="1" applyFill="1" applyAlignment="1" applyProtection="1">
      <alignment horizontal="right"/>
    </xf>
    <xf numFmtId="0" fontId="63" fillId="0" borderId="0" xfId="13" applyAlignment="1">
      <alignment horizontal="right" vertical="center"/>
    </xf>
    <xf numFmtId="37" fontId="27" fillId="5" borderId="0" xfId="13" applyNumberFormat="1" applyFont="1" applyFill="1" applyAlignment="1">
      <alignment horizontal="left" vertical="center"/>
    </xf>
    <xf numFmtId="168" fontId="63" fillId="5" borderId="22" xfId="13" applyNumberFormat="1" applyFill="1" applyBorder="1"/>
    <xf numFmtId="168" fontId="63"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3"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3"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0" fontId="33" fillId="0" borderId="0" xfId="13" applyFont="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0" fontId="33" fillId="4" borderId="0" xfId="8" applyFont="1" applyFill="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1" fillId="6" borderId="0" xfId="6" quotePrefix="1" applyNumberFormat="1" applyFont="1" applyFill="1" applyAlignment="1" applyProtection="1">
      <alignment horizontal="right"/>
    </xf>
    <xf numFmtId="0" fontId="0" fillId="0" borderId="0" xfId="0" applyAlignment="1">
      <alignment horizontal="left" vertical="top"/>
    </xf>
    <xf numFmtId="0" fontId="4" fillId="0" borderId="0" xfId="0" quotePrefix="1" applyFont="1" applyAlignment="1">
      <alignment horizontal="left"/>
    </xf>
    <xf numFmtId="0" fontId="56" fillId="0" borderId="0" xfId="0" applyFont="1"/>
    <xf numFmtId="0" fontId="0" fillId="0" borderId="1" xfId="0" applyBorder="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1"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3"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9"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8"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8" fillId="0" borderId="1" xfId="7" applyFont="1" applyBorder="1" applyAlignment="1">
      <alignment horizontal="center"/>
    </xf>
    <xf numFmtId="0" fontId="18"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3" fillId="0" borderId="1" xfId="7" applyFont="1" applyBorder="1"/>
    <xf numFmtId="0" fontId="37" fillId="9" borderId="1" xfId="7" applyFont="1" applyFill="1" applyBorder="1"/>
    <xf numFmtId="0" fontId="4"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2" fillId="0" borderId="0" xfId="6" applyNumberFormat="1" applyFont="1" applyFill="1" applyBorder="1" applyProtection="1"/>
    <xf numFmtId="168" fontId="0" fillId="5" borderId="1" xfId="0" applyNumberFormat="1" applyFill="1" applyBorder="1" applyAlignment="1">
      <alignment horizontal="justify" vertical="top"/>
    </xf>
    <xf numFmtId="168" fontId="31"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1"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1"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1"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4" fillId="0" borderId="1" xfId="0" applyFont="1" applyBorder="1" applyAlignment="1">
      <alignment vertical="top" wrapText="1"/>
    </xf>
    <xf numFmtId="0" fontId="0" fillId="5" borderId="1" xfId="0" applyFill="1" applyBorder="1" applyAlignment="1">
      <alignment horizontal="left" vertical="top" wrapText="1"/>
    </xf>
    <xf numFmtId="0" fontId="33"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9" fillId="0" borderId="8" xfId="6" applyNumberFormat="1" applyFont="1" applyBorder="1" applyAlignment="1" applyProtection="1">
      <alignment horizontal="justify"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7"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8" fillId="0" borderId="8" xfId="13" applyNumberFormat="1" applyFont="1" applyBorder="1" applyProtection="1">
      <protection locked="0"/>
    </xf>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37" fontId="48" fillId="0" borderId="9" xfId="13" applyNumberFormat="1" applyFont="1" applyBorder="1" applyAlignment="1" applyProtection="1">
      <alignment horizontal="right"/>
      <protection locked="0"/>
    </xf>
    <xf numFmtId="173" fontId="63"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4"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1" fillId="6" borderId="0" xfId="6" applyFont="1" applyFill="1" applyProtection="1"/>
    <xf numFmtId="37" fontId="48" fillId="0" borderId="9" xfId="13" applyNumberFormat="1" applyFont="1" applyBorder="1"/>
    <xf numFmtId="49" fontId="63"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37" fontId="29" fillId="5" borderId="1" xfId="10" applyNumberFormat="1" applyFont="1" applyFill="1" applyBorder="1" applyProtection="1">
      <protection locked="0"/>
    </xf>
    <xf numFmtId="168" fontId="4" fillId="0" borderId="0" xfId="6" applyNumberFormat="1" applyFont="1" applyFill="1" applyAlignment="1" applyProtection="1">
      <alignment horizontal="left" vertical="top"/>
    </xf>
    <xf numFmtId="0" fontId="29" fillId="0" borderId="0" xfId="0" applyFont="1"/>
    <xf numFmtId="0" fontId="33" fillId="0" borderId="0" xfId="0" applyFont="1"/>
    <xf numFmtId="0" fontId="4"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5" fillId="6" borderId="12" xfId="6" applyFont="1" applyFill="1" applyBorder="1" applyProtection="1"/>
    <xf numFmtId="0" fontId="15"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4" fillId="0" borderId="0" xfId="6" applyNumberFormat="1" applyFont="1" applyFill="1" applyAlignment="1" applyProtection="1">
      <alignment vertical="top"/>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0" fillId="0" borderId="0" xfId="0" applyAlignment="1">
      <alignment horizontal="center"/>
    </xf>
    <xf numFmtId="0" fontId="4"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4"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4"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3" fillId="0" borderId="3" xfId="13" applyBorder="1" applyAlignment="1">
      <alignment horizontal="center"/>
    </xf>
    <xf numFmtId="0" fontId="0" fillId="0" borderId="0" xfId="0" applyAlignment="1">
      <alignment horizontal="left" vertical="top" wrapText="1"/>
    </xf>
    <xf numFmtId="168" fontId="4"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9"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7" fillId="0" borderId="10" xfId="0" applyFont="1" applyBorder="1" applyAlignment="1">
      <alignment vertical="top" wrapText="1"/>
    </xf>
    <xf numFmtId="168" fontId="0" fillId="0" borderId="5" xfId="0" applyNumberFormat="1" applyBorder="1" applyAlignment="1">
      <alignment horizontal="justify" vertical="top"/>
    </xf>
    <xf numFmtId="0" fontId="17"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1" fillId="0" borderId="13" xfId="6" applyFont="1" applyFill="1" applyBorder="1" applyAlignment="1" applyProtection="1">
      <alignment horizontal="center" vertical="top"/>
    </xf>
    <xf numFmtId="0" fontId="52" fillId="0" borderId="1" xfId="0" applyFont="1" applyBorder="1" applyAlignment="1">
      <alignment horizontal="center" vertical="top" wrapText="1"/>
    </xf>
    <xf numFmtId="0" fontId="11" fillId="0" borderId="8" xfId="6" applyFont="1" applyFill="1" applyBorder="1" applyAlignment="1" applyProtection="1">
      <alignment horizontal="center" vertical="top"/>
    </xf>
    <xf numFmtId="0" fontId="11" fillId="0" borderId="0" xfId="6" applyFont="1" applyFill="1" applyAlignment="1" applyProtection="1">
      <alignment horizontal="center" vertical="top"/>
    </xf>
    <xf numFmtId="0" fontId="11" fillId="0" borderId="14" xfId="6" applyFont="1" applyFill="1" applyBorder="1" applyAlignment="1" applyProtection="1">
      <alignment horizontal="center" vertical="top"/>
    </xf>
    <xf numFmtId="0" fontId="11" fillId="0" borderId="15" xfId="6" applyFont="1" applyFill="1" applyBorder="1" applyAlignment="1" applyProtection="1">
      <alignment horizontal="center" vertical="top"/>
    </xf>
    <xf numFmtId="0" fontId="11"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168" fontId="53" fillId="0" borderId="0" xfId="6" quotePrefix="1" applyNumberFormat="1" applyFont="1" applyFill="1" applyAlignment="1" applyProtection="1">
      <alignment vertical="top"/>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3"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3" fillId="0" borderId="0" xfId="13" applyNumberFormat="1"/>
    <xf numFmtId="0" fontId="0" fillId="0" borderId="1" xfId="0" applyBorder="1" applyProtection="1">
      <protection locked="0"/>
    </xf>
    <xf numFmtId="42" fontId="63" fillId="5" borderId="0" xfId="13" applyNumberFormat="1" applyFill="1"/>
    <xf numFmtId="37" fontId="63"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168" fontId="0" fillId="5" borderId="0" xfId="10" applyNumberFormat="1" applyFont="1" applyFill="1" applyAlignment="1">
      <alignment horizontal="right"/>
    </xf>
    <xf numFmtId="0" fontId="4"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2" fillId="0" borderId="9" xfId="6" applyFont="1" applyFill="1" applyBorder="1" applyAlignment="1" applyProtection="1">
      <alignment horizontal="left"/>
    </xf>
    <xf numFmtId="37" fontId="64" fillId="0" borderId="1" xfId="0" applyNumberFormat="1" applyFont="1" applyBorder="1"/>
    <xf numFmtId="168" fontId="64" fillId="0" borderId="1" xfId="0" applyNumberFormat="1" applyFont="1" applyBorder="1" applyAlignment="1">
      <alignment horizontal="justify" vertical="top" wrapText="1"/>
    </xf>
    <xf numFmtId="168" fontId="64" fillId="0" borderId="1" xfId="0" applyNumberFormat="1" applyFont="1" applyBorder="1" applyAlignment="1">
      <alignment horizontal="justify" vertical="top"/>
    </xf>
    <xf numFmtId="168" fontId="64" fillId="0" borderId="1" xfId="0" applyNumberFormat="1" applyFont="1" applyBorder="1" applyAlignment="1">
      <alignment horizontal="left" vertical="top" wrapText="1"/>
    </xf>
    <xf numFmtId="0" fontId="64" fillId="18" borderId="1" xfId="0" applyFont="1" applyFill="1" applyBorder="1" applyAlignment="1">
      <alignment vertical="top" wrapText="1"/>
    </xf>
    <xf numFmtId="14" fontId="46" fillId="0" borderId="3" xfId="0" applyNumberFormat="1" applyFont="1" applyBorder="1" applyProtection="1">
      <protection locked="0"/>
    </xf>
    <xf numFmtId="0" fontId="0" fillId="0" borderId="0" xfId="0"/>
    <xf numFmtId="0" fontId="28" fillId="0" borderId="34" xfId="0" applyFont="1" applyBorder="1"/>
    <xf numFmtId="0" fontId="28" fillId="0" borderId="0" xfId="0" applyFont="1" applyBorder="1"/>
    <xf numFmtId="0" fontId="1" fillId="0" borderId="0" xfId="7" applyFont="1" applyAlignment="1" applyProtection="1">
      <alignment horizontal="left" vertical="top"/>
      <protection locked="0"/>
    </xf>
    <xf numFmtId="8" fontId="39" fillId="2" borderId="1" xfId="2" applyNumberFormat="1" applyFont="1" applyFill="1" applyBorder="1" applyAlignment="1" applyProtection="1">
      <alignment horizontal="center"/>
      <protection locked="0"/>
    </xf>
    <xf numFmtId="8" fontId="3" fillId="0" borderId="0" xfId="2" applyNumberFormat="1" applyFont="1" applyAlignment="1" applyProtection="1">
      <alignment horizontal="right" vertical="top"/>
      <protection locked="0"/>
    </xf>
    <xf numFmtId="8" fontId="46" fillId="4" borderId="0" xfId="2" applyNumberFormat="1" applyFont="1" applyFill="1" applyAlignment="1" applyProtection="1">
      <alignment horizontal="right"/>
      <protection locked="0"/>
    </xf>
    <xf numFmtId="8" fontId="3" fillId="0" borderId="0" xfId="2" applyNumberFormat="1" applyFont="1" applyAlignment="1" applyProtection="1">
      <alignment horizontal="right"/>
      <protection locked="0"/>
    </xf>
    <xf numFmtId="0" fontId="0" fillId="0" borderId="0" xfId="0" applyAlignment="1">
      <alignment horizontal="center" wrapText="1"/>
    </xf>
    <xf numFmtId="0" fontId="0" fillId="0" borderId="3" xfId="0" applyBorder="1"/>
    <xf numFmtId="0" fontId="0" fillId="0" borderId="7" xfId="0" applyBorder="1" applyAlignment="1">
      <alignment horizontal="center" vertical="top"/>
    </xf>
    <xf numFmtId="0" fontId="46" fillId="0" borderId="0" xfId="0" applyFont="1" applyProtection="1">
      <protection locked="0"/>
    </xf>
    <xf numFmtId="0" fontId="0" fillId="0" borderId="3" xfId="0" applyBorder="1" applyAlignment="1" applyProtection="1">
      <alignment horizontal="center"/>
      <protection locked="0"/>
    </xf>
    <xf numFmtId="0" fontId="0" fillId="0" borderId="0" xfId="0" applyAlignment="1">
      <alignment horizontal="center" vertical="top"/>
    </xf>
    <xf numFmtId="37" fontId="50" fillId="4" borderId="3" xfId="0" applyNumberFormat="1" applyFont="1" applyFill="1" applyBorder="1"/>
    <xf numFmtId="0" fontId="0" fillId="0" borderId="0" xfId="0"/>
    <xf numFmtId="0" fontId="0" fillId="0" borderId="0" xfId="0" applyAlignment="1">
      <alignment horizontal="justify" wrapText="1"/>
    </xf>
    <xf numFmtId="0" fontId="0" fillId="0" borderId="3" xfId="0" applyBorder="1" applyProtection="1">
      <protection locked="0"/>
    </xf>
    <xf numFmtId="0" fontId="46" fillId="0" borderId="3" xfId="0" applyFont="1" applyBorder="1" applyProtection="1">
      <protection locked="0"/>
    </xf>
    <xf numFmtId="0" fontId="0" fillId="0" borderId="7" xfId="0" applyBorder="1" applyAlignment="1">
      <alignment horizontal="center"/>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4" fillId="0" borderId="0" xfId="0" applyFont="1" applyAlignment="1">
      <alignment horizontal="left"/>
    </xf>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46" fillId="4" borderId="0" xfId="0" applyFont="1" applyFill="1" applyAlignment="1">
      <alignment wrapText="1"/>
    </xf>
    <xf numFmtId="0" fontId="33" fillId="4" borderId="0" xfId="0" applyFont="1" applyFill="1" applyAlignment="1">
      <alignment horizontal="left" vertical="top" wrapText="1"/>
    </xf>
    <xf numFmtId="0" fontId="46" fillId="4" borderId="0" xfId="0" applyFont="1" applyFill="1"/>
    <xf numFmtId="0" fontId="20" fillId="4" borderId="0" xfId="0" applyFont="1" applyFill="1" applyAlignment="1">
      <alignment vertical="top" wrapText="1"/>
    </xf>
    <xf numFmtId="0" fontId="8" fillId="0" borderId="0" xfId="0" applyFont="1" applyAlignment="1">
      <alignment horizontal="center"/>
    </xf>
    <xf numFmtId="0" fontId="9" fillId="0" borderId="0" xfId="0" applyFont="1" applyAlignment="1">
      <alignment horizontal="center"/>
    </xf>
    <xf numFmtId="0" fontId="0" fillId="0" borderId="0" xfId="0" applyAlignment="1">
      <alignment horizontal="left"/>
    </xf>
    <xf numFmtId="0" fontId="4" fillId="0" borderId="0" xfId="0" applyFont="1"/>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49" fontId="0" fillId="0" borderId="3" xfId="0" applyNumberFormat="1" applyBorder="1" applyAlignment="1">
      <alignment horizontal="center"/>
    </xf>
    <xf numFmtId="0" fontId="0" fillId="0" borderId="3" xfId="0" applyBorder="1" applyAlignment="1">
      <alignment horizontal="center"/>
    </xf>
    <xf numFmtId="0" fontId="21" fillId="0" borderId="1" xfId="0" applyFont="1" applyBorder="1" applyAlignment="1">
      <alignment horizontal="center" wrapText="1"/>
    </xf>
    <xf numFmtId="6" fontId="21" fillId="0" borderId="1" xfId="0" applyNumberFormat="1" applyFont="1" applyBorder="1" applyAlignment="1">
      <alignment horizontal="center"/>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50" fillId="0" borderId="10" xfId="0" applyNumberFormat="1" applyFont="1" applyBorder="1" applyAlignment="1">
      <alignment horizontal="right"/>
    </xf>
    <xf numFmtId="37" fontId="50" fillId="0" borderId="5" xfId="0" applyNumberFormat="1" applyFont="1" applyBorder="1" applyAlignment="1">
      <alignment horizontal="right"/>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23" fillId="6" borderId="3" xfId="6" applyFont="1" applyFill="1" applyBorder="1" applyProtection="1"/>
    <xf numFmtId="0" fontId="4" fillId="0" borderId="3" xfId="0" applyFont="1" applyBorder="1" applyAlignment="1">
      <alignment horizontal="center"/>
    </xf>
    <xf numFmtId="0" fontId="4" fillId="0" borderId="0" xfId="0" applyFont="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6" xfId="0" applyNumberFormat="1" applyFill="1" applyBorder="1" applyAlignment="1">
      <alignment horizontal="center"/>
    </xf>
    <xf numFmtId="37" fontId="0" fillId="9" borderId="1"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0" fontId="5" fillId="0" borderId="12" xfId="0" applyFont="1" applyBorder="1" applyAlignment="1">
      <alignment horizontal="center" wrapText="1"/>
    </xf>
    <xf numFmtId="0" fontId="5" fillId="0" borderId="13" xfId="0" applyFont="1" applyBorder="1" applyAlignment="1">
      <alignment horizontal="center"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5" fillId="0" borderId="2" xfId="0" applyFont="1" applyBorder="1" applyAlignment="1">
      <alignment horizontal="center" wrapText="1"/>
    </xf>
    <xf numFmtId="0" fontId="5" fillId="0" borderId="0" xfId="0" applyFont="1" applyAlignment="1">
      <alignment horizontal="center" wrapText="1"/>
    </xf>
    <xf numFmtId="0" fontId="5" fillId="0" borderId="14" xfId="0" applyFont="1" applyBorder="1" applyAlignment="1">
      <alignment horizontal="center" wrapText="1"/>
    </xf>
    <xf numFmtId="0" fontId="5" fillId="0" borderId="16" xfId="0" applyFont="1" applyBorder="1" applyAlignment="1">
      <alignment horizontal="center" wrapText="1"/>
    </xf>
    <xf numFmtId="0" fontId="5" fillId="0" borderId="3" xfId="0" applyFont="1" applyBorder="1" applyAlignment="1">
      <alignment horizontal="center" wrapText="1"/>
    </xf>
    <xf numFmtId="0" fontId="5" fillId="0" borderId="17" xfId="0" applyFont="1" applyBorder="1" applyAlignment="1">
      <alignment horizontal="center" wrapText="1"/>
    </xf>
    <xf numFmtId="49" fontId="31" fillId="6" borderId="0" xfId="6" applyNumberFormat="1" applyFont="1" applyFill="1" applyBorder="1" applyAlignment="1" applyProtection="1">
      <alignment horizontal="left" vertical="top" wrapText="1"/>
    </xf>
    <xf numFmtId="0" fontId="5" fillId="0" borderId="7"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37" fontId="50" fillId="0" borderId="10" xfId="0" applyNumberFormat="1" applyFont="1" applyBorder="1" applyAlignment="1">
      <alignment vertical="center"/>
    </xf>
    <xf numFmtId="37" fontId="0" fillId="0" borderId="33" xfId="0" applyNumberFormat="1" applyBorder="1" applyAlignment="1">
      <alignment horizontal="right" vertical="center"/>
    </xf>
    <xf numFmtId="0" fontId="11" fillId="6" borderId="0" xfId="6" applyFont="1" applyFill="1" applyAlignment="1" applyProtection="1">
      <alignment horizontal="left" vertical="center" wrapText="1"/>
    </xf>
    <xf numFmtId="0" fontId="11"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0" fontId="31" fillId="6" borderId="0" xfId="6" applyFont="1" applyFill="1" applyAlignment="1" applyProtection="1">
      <alignment horizontal="center"/>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4" fillId="5" borderId="0" xfId="0" applyNumberFormat="1" applyFont="1" applyFill="1" applyAlignment="1">
      <alignment horizontal="center"/>
    </xf>
    <xf numFmtId="0" fontId="0" fillId="0" borderId="1" xfId="0" applyBorder="1" applyAlignment="1">
      <alignment horizontal="center"/>
    </xf>
    <xf numFmtId="168" fontId="29" fillId="5" borderId="0" xfId="0" applyNumberFormat="1" applyFont="1" applyFill="1" applyAlignment="1">
      <alignment horizontal="left"/>
    </xf>
    <xf numFmtId="168" fontId="29" fillId="5" borderId="14" xfId="0" applyNumberFormat="1" applyFont="1" applyFill="1" applyBorder="1" applyAlignment="1">
      <alignment horizontal="left"/>
    </xf>
    <xf numFmtId="168" fontId="0" fillId="5" borderId="0" xfId="0" applyNumberFormat="1" applyFill="1" applyAlignment="1">
      <alignment horizontal="left"/>
    </xf>
    <xf numFmtId="0" fontId="0" fillId="0" borderId="0" xfId="0" quotePrefix="1" applyAlignment="1">
      <alignment horizontal="left"/>
    </xf>
    <xf numFmtId="168" fontId="0" fillId="5" borderId="14" xfId="0" applyNumberFormat="1" applyFill="1" applyBorder="1" applyAlignment="1">
      <alignment horizontal="left"/>
    </xf>
    <xf numFmtId="0" fontId="29" fillId="0" borderId="3" xfId="10" applyFont="1" applyBorder="1" applyAlignment="1">
      <alignment horizontal="center"/>
    </xf>
    <xf numFmtId="168" fontId="15" fillId="6" borderId="10" xfId="12" applyNumberFormat="1" applyFont="1" applyFill="1" applyBorder="1" applyAlignment="1" applyProtection="1">
      <alignment horizontal="center" wrapText="1"/>
    </xf>
    <xf numFmtId="168" fontId="15" fillId="6" borderId="5" xfId="12" applyNumberFormat="1" applyFont="1" applyFill="1" applyBorder="1" applyAlignment="1" applyProtection="1">
      <alignment horizontal="center" wrapText="1"/>
    </xf>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5" fillId="6" borderId="9" xfId="6" applyFont="1" applyFill="1" applyBorder="1" applyProtection="1"/>
    <xf numFmtId="0" fontId="15" fillId="6" borderId="4" xfId="6" applyFont="1" applyFill="1" applyBorder="1" applyProtection="1"/>
    <xf numFmtId="0" fontId="15"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5" fillId="6" borderId="12" xfId="6" applyFont="1" applyFill="1" applyBorder="1" applyProtection="1"/>
    <xf numFmtId="0" fontId="15" fillId="6" borderId="7" xfId="6" applyFont="1" applyFill="1" applyBorder="1" applyProtection="1"/>
    <xf numFmtId="0" fontId="15" fillId="6" borderId="13" xfId="6" applyFont="1" applyFill="1" applyBorder="1" applyProtection="1"/>
    <xf numFmtId="0" fontId="15" fillId="6" borderId="16" xfId="6" applyFont="1" applyFill="1" applyBorder="1" applyProtection="1"/>
    <xf numFmtId="0" fontId="15" fillId="6" borderId="3" xfId="6" applyFont="1" applyFill="1" applyBorder="1" applyProtection="1"/>
    <xf numFmtId="0" fontId="15"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3"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4" fillId="0" borderId="0" xfId="8" applyNumberFormat="1" applyFont="1" applyAlignment="1">
      <alignment horizontal="left" wrapText="1"/>
    </xf>
    <xf numFmtId="0" fontId="0" fillId="0" borderId="0" xfId="0" quotePrefix="1" applyAlignment="1">
      <alignment horizontal="right" vertical="top"/>
    </xf>
    <xf numFmtId="0" fontId="53" fillId="0" borderId="0" xfId="0" applyFont="1"/>
    <xf numFmtId="0" fontId="53" fillId="0" borderId="0" xfId="0" applyFont="1" applyAlignment="1">
      <alignmen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4" fillId="0" borderId="9" xfId="0" applyFont="1" applyBorder="1" applyAlignment="1">
      <alignment horizontal="left" wrapText="1"/>
    </xf>
    <xf numFmtId="0" fontId="4" fillId="0" borderId="4" xfId="0" applyFont="1" applyBorder="1" applyAlignment="1">
      <alignment horizontal="left" wrapText="1"/>
    </xf>
    <xf numFmtId="0" fontId="4"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11" fillId="5" borderId="12" xfId="6" applyNumberFormat="1" applyFont="1" applyFill="1" applyBorder="1" applyAlignment="1" applyProtection="1">
      <alignment horizontal="center" vertical="center"/>
    </xf>
    <xf numFmtId="168" fontId="11" fillId="5" borderId="13" xfId="6" applyNumberFormat="1" applyFont="1" applyFill="1" applyBorder="1" applyAlignment="1" applyProtection="1">
      <alignment horizontal="center" vertical="center"/>
    </xf>
    <xf numFmtId="168" fontId="11" fillId="5" borderId="2" xfId="6" applyNumberFormat="1" applyFont="1" applyFill="1" applyBorder="1" applyAlignment="1" applyProtection="1">
      <alignment horizontal="center" vertical="center"/>
    </xf>
    <xf numFmtId="168" fontId="11" fillId="5" borderId="14" xfId="6" applyNumberFormat="1" applyFont="1" applyFill="1" applyBorder="1" applyAlignment="1" applyProtection="1">
      <alignment horizontal="center" vertical="center"/>
    </xf>
    <xf numFmtId="168" fontId="11" fillId="5" borderId="16" xfId="6" applyNumberFormat="1" applyFont="1" applyFill="1" applyBorder="1" applyAlignment="1" applyProtection="1">
      <alignment horizontal="center" vertical="center"/>
    </xf>
    <xf numFmtId="168" fontId="11"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1" fillId="0" borderId="13" xfId="6" applyFont="1" applyFill="1" applyBorder="1" applyAlignment="1" applyProtection="1">
      <alignment horizontal="center" vertical="top"/>
    </xf>
    <xf numFmtId="0" fontId="11"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Phx%20MS/afr24-food%20servi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Phx%20M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Phx%20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Phx%20MS/afr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Phx%20MS/budget24%20Phx%20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v>20252</v>
          </cell>
        </row>
        <row r="10">
          <cell r="E10">
            <v>146048.29</v>
          </cell>
        </row>
        <row r="11">
          <cell r="E11">
            <v>12515.84</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Phx M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1203155</v>
          </cell>
        </row>
        <row r="10">
          <cell r="L10">
            <v>169653</v>
          </cell>
        </row>
        <row r="11">
          <cell r="L11">
            <v>46520</v>
          </cell>
        </row>
        <row r="12">
          <cell r="L12">
            <v>27586</v>
          </cell>
        </row>
        <row r="13">
          <cell r="L13">
            <v>184323</v>
          </cell>
        </row>
        <row r="14">
          <cell r="L14">
            <v>987226</v>
          </cell>
        </row>
        <row r="15">
          <cell r="L15">
            <v>637440</v>
          </cell>
        </row>
        <row r="16">
          <cell r="L16">
            <v>6198</v>
          </cell>
        </row>
        <row r="17">
          <cell r="L17">
            <v>137896</v>
          </cell>
        </row>
        <row r="18">
          <cell r="L18">
            <v>0</v>
          </cell>
        </row>
        <row r="19">
          <cell r="L19">
            <v>0</v>
          </cell>
        </row>
        <row r="20">
          <cell r="L20">
            <v>0</v>
          </cell>
        </row>
        <row r="21">
          <cell r="L21">
            <v>1609</v>
          </cell>
        </row>
        <row r="22">
          <cell r="L22">
            <v>0</v>
          </cell>
        </row>
        <row r="25">
          <cell r="L25">
            <v>74730</v>
          </cell>
        </row>
        <row r="27">
          <cell r="L27">
            <v>61695</v>
          </cell>
        </row>
        <row r="28">
          <cell r="L28">
            <v>9765</v>
          </cell>
        </row>
        <row r="29">
          <cell r="L29">
            <v>0</v>
          </cell>
        </row>
        <row r="30">
          <cell r="L30">
            <v>0</v>
          </cell>
        </row>
        <row r="31">
          <cell r="L31">
            <v>0</v>
          </cell>
        </row>
        <row r="32">
          <cell r="L32">
            <v>0</v>
          </cell>
        </row>
        <row r="33">
          <cell r="L33">
            <v>3844</v>
          </cell>
        </row>
        <row r="34">
          <cell r="L34">
            <v>0</v>
          </cell>
        </row>
        <row r="35">
          <cell r="L35">
            <v>0</v>
          </cell>
        </row>
        <row r="36">
          <cell r="L36">
            <v>0</v>
          </cell>
        </row>
        <row r="39">
          <cell r="L39">
            <v>18032</v>
          </cell>
        </row>
        <row r="40">
          <cell r="L40">
            <v>0</v>
          </cell>
        </row>
        <row r="41">
          <cell r="L41">
            <v>0</v>
          </cell>
        </row>
        <row r="42">
          <cell r="L42">
            <v>0</v>
          </cell>
        </row>
        <row r="44">
          <cell r="L44">
            <v>357926</v>
          </cell>
        </row>
        <row r="45">
          <cell r="L45">
            <v>19064</v>
          </cell>
        </row>
        <row r="46">
          <cell r="L46">
            <v>0</v>
          </cell>
        </row>
        <row r="47">
          <cell r="L47">
            <v>0</v>
          </cell>
        </row>
        <row r="48">
          <cell r="L48">
            <v>558677</v>
          </cell>
        </row>
      </sheetData>
      <sheetData sheetId="3">
        <row r="5">
          <cell r="E5">
            <v>136963</v>
          </cell>
          <cell r="N5">
            <v>150034</v>
          </cell>
        </row>
        <row r="6">
          <cell r="E6">
            <v>17631</v>
          </cell>
          <cell r="N6"/>
        </row>
        <row r="7">
          <cell r="E7">
            <v>10513</v>
          </cell>
          <cell r="N7"/>
        </row>
        <row r="8">
          <cell r="E8"/>
          <cell r="N8"/>
        </row>
        <row r="9">
          <cell r="E9"/>
          <cell r="N9"/>
        </row>
        <row r="10">
          <cell r="E10"/>
          <cell r="N10"/>
        </row>
        <row r="11">
          <cell r="E11"/>
          <cell r="N11"/>
        </row>
        <row r="12">
          <cell r="E12">
            <v>59519</v>
          </cell>
        </row>
        <row r="13">
          <cell r="E13"/>
        </row>
        <row r="14">
          <cell r="E14"/>
          <cell r="N14"/>
        </row>
        <row r="15">
          <cell r="E15"/>
        </row>
        <row r="16">
          <cell r="E16"/>
        </row>
        <row r="17">
          <cell r="E17"/>
        </row>
        <row r="18">
          <cell r="E18"/>
        </row>
        <row r="19">
          <cell r="E19"/>
        </row>
        <row r="20">
          <cell r="E20"/>
        </row>
        <row r="21">
          <cell r="E21">
            <v>334051</v>
          </cell>
          <cell r="N21"/>
        </row>
        <row r="22">
          <cell r="N22"/>
        </row>
        <row r="23">
          <cell r="N23"/>
        </row>
        <row r="24">
          <cell r="E24"/>
          <cell r="N24">
            <v>19064</v>
          </cell>
        </row>
        <row r="25">
          <cell r="E25"/>
        </row>
        <row r="26">
          <cell r="E26"/>
        </row>
        <row r="27">
          <cell r="E27"/>
        </row>
        <row r="28">
          <cell r="E28"/>
        </row>
        <row r="29">
          <cell r="E29"/>
        </row>
        <row r="30">
          <cell r="E30"/>
        </row>
        <row r="31">
          <cell r="E31"/>
        </row>
        <row r="32">
          <cell r="E32"/>
        </row>
        <row r="33">
          <cell r="E33"/>
        </row>
        <row r="34">
          <cell r="E34"/>
        </row>
        <row r="35">
          <cell r="E35"/>
        </row>
        <row r="40">
          <cell r="E40"/>
        </row>
        <row r="41">
          <cell r="E41"/>
        </row>
        <row r="42">
          <cell r="E42"/>
        </row>
        <row r="43">
          <cell r="E43"/>
        </row>
        <row r="44">
          <cell r="E44"/>
        </row>
        <row r="45">
          <cell r="E45"/>
        </row>
      </sheetData>
      <sheetData sheetId="4">
        <row r="8">
          <cell r="K8">
            <v>357926</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Phx M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1111110</v>
          </cell>
        </row>
        <row r="8">
          <cell r="J8">
            <v>117374</v>
          </cell>
        </row>
        <row r="10">
          <cell r="J10">
            <v>25963</v>
          </cell>
        </row>
        <row r="11">
          <cell r="J11">
            <v>11708</v>
          </cell>
        </row>
        <row r="12">
          <cell r="J12">
            <v>179718</v>
          </cell>
        </row>
        <row r="13">
          <cell r="J13">
            <v>785570</v>
          </cell>
        </row>
        <row r="14">
          <cell r="J14">
            <v>592680</v>
          </cell>
        </row>
        <row r="15">
          <cell r="J15">
            <v>0</v>
          </cell>
        </row>
        <row r="16">
          <cell r="J16">
            <v>150093</v>
          </cell>
        </row>
        <row r="17">
          <cell r="J17">
            <v>0</v>
          </cell>
        </row>
        <row r="18">
          <cell r="J18">
            <v>0</v>
          </cell>
        </row>
        <row r="19">
          <cell r="J19">
            <v>0</v>
          </cell>
        </row>
        <row r="20">
          <cell r="J20">
            <v>3966</v>
          </cell>
        </row>
        <row r="21">
          <cell r="J21">
            <v>0</v>
          </cell>
        </row>
        <row r="22">
          <cell r="J22">
            <v>0</v>
          </cell>
        </row>
        <row r="24">
          <cell r="J24">
            <v>42779</v>
          </cell>
        </row>
        <row r="26">
          <cell r="J26">
            <v>79921</v>
          </cell>
        </row>
        <row r="28">
          <cell r="J28">
            <v>13650</v>
          </cell>
        </row>
        <row r="29">
          <cell r="J29">
            <v>0</v>
          </cell>
        </row>
        <row r="30">
          <cell r="J30">
            <v>24</v>
          </cell>
        </row>
        <row r="31">
          <cell r="J31">
            <v>13663</v>
          </cell>
        </row>
        <row r="32">
          <cell r="J32">
            <v>0</v>
          </cell>
        </row>
        <row r="33">
          <cell r="J33">
            <v>0</v>
          </cell>
        </row>
        <row r="34">
          <cell r="J34">
            <v>0</v>
          </cell>
        </row>
        <row r="35">
          <cell r="J35">
            <v>0</v>
          </cell>
        </row>
        <row r="36">
          <cell r="J36">
            <v>0</v>
          </cell>
        </row>
        <row r="38">
          <cell r="J38">
            <v>27872</v>
          </cell>
        </row>
        <row r="39">
          <cell r="J39">
            <v>0</v>
          </cell>
        </row>
        <row r="40">
          <cell r="J40">
            <v>0</v>
          </cell>
        </row>
        <row r="41">
          <cell r="J41">
            <v>0</v>
          </cell>
        </row>
        <row r="43">
          <cell r="J43">
            <v>332025</v>
          </cell>
        </row>
        <row r="44">
          <cell r="J44">
            <v>36254</v>
          </cell>
        </row>
        <row r="45">
          <cell r="J45">
            <v>0</v>
          </cell>
        </row>
        <row r="46">
          <cell r="J46">
            <v>0</v>
          </cell>
        </row>
        <row r="47">
          <cell r="J47">
            <v>754692</v>
          </cell>
        </row>
      </sheetData>
      <sheetData sheetId="3"/>
      <sheetData sheetId="4">
        <row r="19">
          <cell r="F19">
            <v>0</v>
          </cell>
        </row>
      </sheetData>
      <sheetData sheetId="5">
        <row r="26">
          <cell r="O26">
            <v>0</v>
          </cell>
        </row>
        <row r="48">
          <cell r="O48">
            <v>0</v>
          </cell>
        </row>
      </sheetData>
      <sheetData sheetId="6">
        <row r="6">
          <cell r="F6">
            <v>1517055</v>
          </cell>
        </row>
        <row r="29">
          <cell r="T29">
            <v>51464</v>
          </cell>
        </row>
      </sheetData>
      <sheetData sheetId="7"/>
      <sheetData sheetId="8">
        <row r="6">
          <cell r="M6">
            <v>-186</v>
          </cell>
        </row>
        <row r="7">
          <cell r="M7">
            <v>0</v>
          </cell>
        </row>
        <row r="8">
          <cell r="M8">
            <v>0</v>
          </cell>
        </row>
        <row r="9">
          <cell r="M9">
            <v>0</v>
          </cell>
        </row>
        <row r="10">
          <cell r="M10">
            <v>130</v>
          </cell>
        </row>
        <row r="11">
          <cell r="M11">
            <v>0</v>
          </cell>
        </row>
        <row r="12">
          <cell r="M12">
            <v>0</v>
          </cell>
        </row>
        <row r="13">
          <cell r="M13">
            <v>-3505</v>
          </cell>
        </row>
        <row r="14">
          <cell r="M14">
            <v>0</v>
          </cell>
        </row>
        <row r="15">
          <cell r="M15">
            <v>0</v>
          </cell>
        </row>
        <row r="16">
          <cell r="M16">
            <v>0</v>
          </cell>
        </row>
        <row r="17">
          <cell r="M17">
            <v>0</v>
          </cell>
        </row>
        <row r="18">
          <cell r="M18">
            <v>0</v>
          </cell>
        </row>
        <row r="19">
          <cell r="M19">
            <v>0</v>
          </cell>
        </row>
        <row r="20">
          <cell r="M20">
            <v>0</v>
          </cell>
        </row>
        <row r="21">
          <cell r="M21">
            <v>0</v>
          </cell>
        </row>
        <row r="22">
          <cell r="M22">
            <v>7626</v>
          </cell>
        </row>
        <row r="25">
          <cell r="M25">
            <v>2123</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sheetData>
      <sheetData sheetId="9"/>
      <sheetData sheetId="10"/>
      <sheetData sheetId="11">
        <row r="17">
          <cell r="K17">
            <v>1642197</v>
          </cell>
        </row>
      </sheetData>
      <sheetData sheetId="12"/>
      <sheetData sheetId="13"/>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s>
    <sheetDataSet>
      <sheetData sheetId="0"/>
      <sheetData sheetId="1"/>
      <sheetData sheetId="2"/>
      <sheetData sheetId="3"/>
      <sheetData sheetId="4"/>
      <sheetData sheetId="5"/>
      <sheetData sheetId="6"/>
      <sheetData sheetId="7"/>
      <sheetData sheetId="8"/>
      <sheetData sheetId="9"/>
      <sheetData sheetId="10"/>
      <sheetData sheetId="11">
        <row r="5">
          <cell r="J5">
            <v>407.28590000000003</v>
          </cell>
        </row>
      </sheetData>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Phx MS"/>
    </sheetNames>
    <definedNames>
      <definedName name="SP1000Total" refersTo="='Page 1'!$L$43"/>
    </definedNames>
    <sheetDataSet>
      <sheetData sheetId="0"/>
      <sheetData sheetId="1"/>
      <sheetData sheetId="2">
        <row r="43">
          <cell r="L43">
            <v>3569672</v>
          </cell>
        </row>
      </sheetData>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rogier@asu.ed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zoomScaleNormal="100" workbookViewId="0">
      <selection activeCell="L4" sqref="L4:R18"/>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6" t="s">
        <v>0</v>
      </c>
      <c r="B1" s="716"/>
      <c r="C1" s="716"/>
      <c r="D1" s="704" t="s">
        <v>1346</v>
      </c>
      <c r="E1" s="705"/>
      <c r="F1" s="705"/>
      <c r="G1" s="705"/>
      <c r="H1" s="705"/>
      <c r="I1" s="705"/>
      <c r="L1" s="623" t="s">
        <v>1</v>
      </c>
      <c r="M1" s="711" t="s">
        <v>1347</v>
      </c>
      <c r="N1" s="705"/>
      <c r="Q1" s="57" t="s">
        <v>2</v>
      </c>
      <c r="R1" s="589" t="s">
        <v>1348</v>
      </c>
      <c r="AA1" s="595" t="s">
        <v>3</v>
      </c>
      <c r="AB1" s="103">
        <v>45519</v>
      </c>
    </row>
    <row r="2" spans="1:28" ht="12.75" customHeight="1" x14ac:dyDescent="0.2">
      <c r="A2" s="104"/>
      <c r="B2" s="104"/>
      <c r="C2" s="104"/>
      <c r="D2" s="712" t="s">
        <v>4</v>
      </c>
      <c r="E2" s="712"/>
      <c r="F2" s="712"/>
      <c r="G2" s="712"/>
      <c r="H2" s="712"/>
      <c r="I2" s="712"/>
      <c r="L2" s="721"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22"/>
      <c r="N2" s="722"/>
      <c r="O2" s="722"/>
      <c r="P2" s="722"/>
      <c r="Q2" s="722"/>
      <c r="R2" s="722"/>
    </row>
    <row r="3" spans="1:28" ht="12.75" customHeight="1" x14ac:dyDescent="0.25">
      <c r="A3" s="104"/>
      <c r="B3" s="104"/>
      <c r="C3" s="104"/>
      <c r="D3" s="704"/>
      <c r="E3" s="705"/>
      <c r="F3" s="705"/>
      <c r="G3" s="705"/>
      <c r="H3" s="705"/>
      <c r="I3" s="705"/>
      <c r="L3" s="722"/>
      <c r="M3" s="722"/>
      <c r="N3" s="722"/>
      <c r="O3" s="722"/>
      <c r="P3" s="722"/>
      <c r="Q3" s="722"/>
      <c r="R3" s="722"/>
    </row>
    <row r="4" spans="1:28" ht="12.75" customHeight="1" x14ac:dyDescent="0.2">
      <c r="A4" s="104"/>
      <c r="B4" s="104"/>
      <c r="C4" s="104"/>
      <c r="D4" s="712" t="s">
        <v>5</v>
      </c>
      <c r="E4" s="712"/>
      <c r="F4" s="712"/>
      <c r="G4" s="712"/>
      <c r="H4" s="712"/>
      <c r="I4" s="712"/>
      <c r="L4" s="719" t="str">
        <f>IF(L2="","",CONCATENATE(Alerts!B3,CHAR(10),Alerts!B4,CHAR(10),Alerts!B5,CHAR(10),Alerts!B6,CHAR(10),Alerts!B7,CHAR(10),Alerts!B8,CHAR(10),Alerts!B9,CHAR(10),Alerts!B10,CHAR(10),Alerts!B11,CHAR(10),Alerts!B12,CHAR(10),Alerts!B13,CHAR(10),Alerts!B14,CHAR(10),Alerts!B15,CHAR(10),Alerts!B16))</f>
        <v/>
      </c>
      <c r="M4" s="720"/>
      <c r="N4" s="720"/>
      <c r="O4" s="720"/>
      <c r="P4" s="720"/>
      <c r="Q4" s="720"/>
      <c r="R4" s="720"/>
    </row>
    <row r="5" spans="1:28" ht="12.75" customHeight="1" x14ac:dyDescent="0.2">
      <c r="A5" s="104"/>
      <c r="B5" s="104"/>
      <c r="C5" s="104"/>
      <c r="L5" s="720"/>
      <c r="M5" s="720"/>
      <c r="N5" s="720"/>
      <c r="O5" s="720"/>
      <c r="P5" s="720"/>
      <c r="Q5" s="720"/>
      <c r="R5" s="720"/>
    </row>
    <row r="6" spans="1:28" ht="18.75" x14ac:dyDescent="0.3">
      <c r="A6" s="65"/>
      <c r="B6" s="723" t="s">
        <v>1173</v>
      </c>
      <c r="C6" s="723"/>
      <c r="D6" s="723"/>
      <c r="E6" s="723"/>
      <c r="F6" s="723"/>
      <c r="G6" s="723"/>
      <c r="H6" s="723"/>
      <c r="I6" s="723"/>
      <c r="J6" s="79"/>
      <c r="L6" s="720"/>
      <c r="M6" s="720"/>
      <c r="N6" s="720"/>
      <c r="O6" s="720"/>
      <c r="P6" s="720"/>
      <c r="Q6" s="720"/>
      <c r="R6" s="720"/>
    </row>
    <row r="7" spans="1:28" ht="18" customHeight="1" x14ac:dyDescent="0.3">
      <c r="A7" s="65"/>
      <c r="B7" s="723" t="s">
        <v>6</v>
      </c>
      <c r="C7" s="723"/>
      <c r="D7" s="723"/>
      <c r="E7" s="723"/>
      <c r="F7" s="723"/>
      <c r="G7" s="723"/>
      <c r="H7" s="723"/>
      <c r="I7" s="723"/>
      <c r="J7" s="75"/>
      <c r="L7" s="720"/>
      <c r="M7" s="720"/>
      <c r="N7" s="720"/>
      <c r="O7" s="720"/>
      <c r="P7" s="720"/>
      <c r="Q7" s="720"/>
      <c r="R7" s="720"/>
    </row>
    <row r="8" spans="1:28" ht="18" customHeight="1" x14ac:dyDescent="0.25">
      <c r="A8" s="65"/>
      <c r="B8" s="724" t="s">
        <v>7</v>
      </c>
      <c r="C8" s="724"/>
      <c r="D8" s="724"/>
      <c r="E8" s="724"/>
      <c r="F8" s="724"/>
      <c r="G8" s="724"/>
      <c r="H8" s="724"/>
      <c r="I8" s="724"/>
      <c r="J8" s="79"/>
      <c r="L8" s="720"/>
      <c r="M8" s="720"/>
      <c r="N8" s="720"/>
      <c r="O8" s="720"/>
      <c r="P8" s="720"/>
      <c r="Q8" s="720"/>
      <c r="R8" s="720"/>
    </row>
    <row r="9" spans="1:28" ht="12.75" customHeight="1" x14ac:dyDescent="0.2">
      <c r="C9" s="105"/>
      <c r="D9" s="105"/>
      <c r="E9" s="105"/>
      <c r="F9" s="105"/>
      <c r="G9" s="105"/>
      <c r="H9" s="105"/>
      <c r="I9" s="105"/>
      <c r="J9" s="106"/>
      <c r="L9" s="720"/>
      <c r="M9" s="720"/>
      <c r="N9" s="720"/>
      <c r="O9" s="720"/>
      <c r="P9" s="719"/>
      <c r="Q9" s="720"/>
      <c r="R9" s="720"/>
    </row>
    <row r="10" spans="1:28" ht="26.25" customHeight="1" x14ac:dyDescent="0.25">
      <c r="A10" s="21"/>
      <c r="B10" s="717" t="str">
        <f>IF('Page 2'!N9="","","Checking the box to the left certifies the Charter did not incur any expenses for student support services, as defined in the USFRCS and reported on Page 2, Line 2, during the fiscal year.")</f>
        <v/>
      </c>
      <c r="C10" s="717"/>
      <c r="D10" s="717"/>
      <c r="E10" s="717"/>
      <c r="F10" s="717"/>
      <c r="G10" s="717"/>
      <c r="H10" s="717"/>
      <c r="I10" s="717"/>
      <c r="J10" s="718"/>
      <c r="L10" s="720"/>
      <c r="M10" s="720"/>
      <c r="N10" s="720"/>
      <c r="O10" s="720"/>
      <c r="P10" s="720"/>
      <c r="Q10" s="720"/>
      <c r="R10" s="720"/>
    </row>
    <row r="11" spans="1:28" x14ac:dyDescent="0.2">
      <c r="A11" s="107"/>
      <c r="B11" s="105"/>
      <c r="C11" s="105"/>
      <c r="D11" s="105"/>
      <c r="E11" s="105"/>
      <c r="F11" s="105"/>
      <c r="G11" s="105"/>
      <c r="H11" s="105"/>
      <c r="I11" s="105"/>
      <c r="J11" s="106"/>
      <c r="L11" s="720"/>
      <c r="M11" s="720"/>
      <c r="N11" s="720"/>
      <c r="O11" s="720"/>
      <c r="P11" s="720"/>
      <c r="Q11" s="720"/>
      <c r="R11" s="720"/>
    </row>
    <row r="12" spans="1:28" ht="25.5" customHeight="1" x14ac:dyDescent="0.25">
      <c r="A12" s="21"/>
      <c r="B12" s="717" t="str">
        <f>IF('Page 2'!N10="","","Checking the box to the left certifies the Charter did not incur any expenses for instructional support services, as defined in the USFRCS and reported on Page 2, Line 3, during the fiscal year.")</f>
        <v/>
      </c>
      <c r="C12" s="717"/>
      <c r="D12" s="717"/>
      <c r="E12" s="717"/>
      <c r="F12" s="717"/>
      <c r="G12" s="717"/>
      <c r="H12" s="717"/>
      <c r="I12" s="717"/>
      <c r="J12" s="718"/>
      <c r="K12" s="62"/>
      <c r="L12" s="720"/>
      <c r="M12" s="720"/>
      <c r="N12" s="720"/>
      <c r="O12" s="720"/>
      <c r="P12" s="720"/>
      <c r="Q12" s="720"/>
      <c r="R12" s="720"/>
    </row>
    <row r="13" spans="1:28" x14ac:dyDescent="0.2">
      <c r="A13" s="107"/>
      <c r="C13" s="105"/>
      <c r="D13" s="105"/>
      <c r="E13" s="105"/>
      <c r="F13" s="105"/>
      <c r="G13" s="105"/>
      <c r="H13" s="105"/>
      <c r="I13" s="105"/>
      <c r="J13" s="106"/>
      <c r="L13" s="720"/>
      <c r="M13" s="720"/>
      <c r="N13" s="720"/>
      <c r="O13" s="720"/>
      <c r="P13" s="720"/>
      <c r="Q13" s="720"/>
      <c r="R13" s="720"/>
    </row>
    <row r="14" spans="1:28" ht="25.5" customHeight="1" x14ac:dyDescent="0.25">
      <c r="A14" s="21"/>
      <c r="B14" s="714" t="str">
        <f>IF('Page 3'!M12="","","Checking the box to the left certifies the Charter did not incur any expenses for Classroom Site Project, as reported on Page 3, during the fiscal year.")</f>
        <v/>
      </c>
      <c r="C14" s="714"/>
      <c r="D14" s="714"/>
      <c r="E14" s="714"/>
      <c r="F14" s="714"/>
      <c r="G14" s="714"/>
      <c r="H14" s="714"/>
      <c r="I14" s="714"/>
      <c r="J14" s="715"/>
      <c r="L14" s="720"/>
      <c r="M14" s="720"/>
      <c r="N14" s="720"/>
      <c r="O14" s="720"/>
      <c r="P14" s="720"/>
      <c r="Q14" s="720"/>
      <c r="R14" s="720"/>
    </row>
    <row r="15" spans="1:28" x14ac:dyDescent="0.2">
      <c r="A15" s="107"/>
      <c r="C15" s="105"/>
      <c r="D15" s="105"/>
      <c r="E15" s="105"/>
      <c r="F15" s="105"/>
      <c r="G15" s="105"/>
      <c r="H15" s="105"/>
      <c r="I15" s="105"/>
      <c r="J15" s="106"/>
      <c r="L15" s="720"/>
      <c r="M15" s="720"/>
      <c r="N15" s="720"/>
      <c r="O15" s="720"/>
      <c r="P15" s="720"/>
      <c r="Q15" s="720"/>
      <c r="R15" s="720"/>
    </row>
    <row r="16" spans="1:28" ht="39.75" customHeight="1" x14ac:dyDescent="0.25">
      <c r="A16" s="21"/>
      <c r="B16" s="717" t="str">
        <f>IF('Page 6'!H33="","","Checking the box to the left certifies the Charter did not incur any current expenses for student support services, as defined in the USFRCS and reported on Page 6-Section E-Line 4, during the fiscal year.")</f>
        <v/>
      </c>
      <c r="C16" s="717"/>
      <c r="D16" s="717"/>
      <c r="E16" s="717"/>
      <c r="F16" s="717"/>
      <c r="G16" s="717"/>
      <c r="H16" s="717"/>
      <c r="I16" s="717"/>
      <c r="J16" s="718"/>
      <c r="L16" s="720"/>
      <c r="M16" s="720"/>
      <c r="N16" s="720"/>
      <c r="O16" s="720"/>
      <c r="P16" s="720"/>
      <c r="Q16" s="720"/>
      <c r="R16" s="720"/>
    </row>
    <row r="17" spans="1:26" x14ac:dyDescent="0.2">
      <c r="A17" s="107"/>
      <c r="C17" s="105"/>
      <c r="D17" s="105"/>
      <c r="E17" s="105"/>
      <c r="F17" s="105"/>
      <c r="G17" s="105"/>
      <c r="H17" s="105"/>
      <c r="I17" s="105"/>
      <c r="J17" s="106"/>
      <c r="L17" s="720"/>
      <c r="M17" s="720"/>
      <c r="N17" s="720"/>
      <c r="O17" s="720"/>
      <c r="P17" s="720"/>
      <c r="Q17" s="720"/>
      <c r="R17" s="720"/>
    </row>
    <row r="18" spans="1:26" ht="48" customHeight="1" x14ac:dyDescent="0.25">
      <c r="A18" s="21"/>
      <c r="B18" s="717" t="str">
        <f>IF('Page 4'!K10="","","Checking the box to the left certifies the Charter did not incur any expenses for Instructional Improvement Project, as defined in the USFRCS and reported on Page 4, Line 5, during the fiscal year.")</f>
        <v/>
      </c>
      <c r="C18" s="717"/>
      <c r="D18" s="717"/>
      <c r="E18" s="717"/>
      <c r="F18" s="717"/>
      <c r="G18" s="717"/>
      <c r="H18" s="717"/>
      <c r="I18" s="717"/>
      <c r="J18" s="718"/>
      <c r="L18" s="720"/>
      <c r="M18" s="720"/>
      <c r="N18" s="720"/>
      <c r="O18" s="720"/>
      <c r="P18" s="720"/>
      <c r="Q18" s="720"/>
      <c r="R18" s="720"/>
      <c r="S18" s="613"/>
      <c r="T18" s="613"/>
    </row>
    <row r="19" spans="1:26" ht="12.75" customHeight="1" thickBot="1" x14ac:dyDescent="0.25">
      <c r="B19" s="701" t="s">
        <v>1174</v>
      </c>
      <c r="C19" s="701"/>
      <c r="D19" s="701"/>
      <c r="E19" s="701"/>
      <c r="F19" s="701"/>
      <c r="G19" s="701"/>
      <c r="H19" s="701"/>
      <c r="I19" s="701"/>
      <c r="J19" s="79"/>
      <c r="L19" s="708" t="s">
        <v>1175</v>
      </c>
      <c r="M19" s="708"/>
      <c r="N19" s="708"/>
      <c r="O19" s="708"/>
      <c r="P19" s="708"/>
      <c r="Q19" s="708"/>
      <c r="R19" s="708"/>
      <c r="S19" s="613"/>
      <c r="T19" s="613"/>
    </row>
    <row r="20" spans="1:26" ht="25.5" customHeight="1" thickBot="1" x14ac:dyDescent="0.3">
      <c r="B20" s="701"/>
      <c r="C20" s="701"/>
      <c r="D20" s="701"/>
      <c r="E20" s="701"/>
      <c r="F20" s="701"/>
      <c r="G20" s="701"/>
      <c r="H20" s="701"/>
      <c r="I20" s="701"/>
      <c r="J20" s="79"/>
      <c r="L20" t="s">
        <v>8</v>
      </c>
      <c r="N20" s="692">
        <v>45580</v>
      </c>
      <c r="O20" s="709" t="s">
        <v>9</v>
      </c>
      <c r="P20" s="709"/>
      <c r="Q20" s="709"/>
      <c r="R20" s="709"/>
      <c r="T20" s="701" t="str">
        <f>IF(Z20="X","","Charters schools must review the FY 2024 AFR Formula Corrections file and make any required formula corrections before finalizing and submitting the AFR. Select the X in the dropdown box in cell Z20 once this step is complete.")</f>
        <v/>
      </c>
      <c r="U20" s="701"/>
      <c r="V20" s="701"/>
      <c r="W20" s="701"/>
      <c r="X20" s="701"/>
      <c r="Z20" s="28" t="s">
        <v>1353</v>
      </c>
    </row>
    <row r="21" spans="1:26" ht="12.75" customHeight="1" x14ac:dyDescent="0.2">
      <c r="A21" s="708"/>
      <c r="B21" s="708"/>
      <c r="C21" s="708"/>
      <c r="D21" s="708"/>
      <c r="E21" s="708"/>
      <c r="F21" s="613"/>
      <c r="G21" s="713"/>
      <c r="H21" s="713"/>
      <c r="I21" s="713"/>
      <c r="J21" s="79"/>
      <c r="L21" s="708" t="s">
        <v>10</v>
      </c>
      <c r="M21" s="708"/>
      <c r="N21" s="708"/>
      <c r="O21" s="108"/>
      <c r="P21" s="108"/>
      <c r="Q21" s="108"/>
      <c r="R21" s="108"/>
      <c r="T21" s="701"/>
      <c r="U21" s="701"/>
      <c r="V21" s="701"/>
      <c r="W21" s="701"/>
      <c r="X21" s="701"/>
    </row>
    <row r="22" spans="1:26" ht="13.5" customHeight="1" x14ac:dyDescent="0.25">
      <c r="A22" s="702"/>
      <c r="B22" s="702"/>
      <c r="C22" s="702"/>
      <c r="D22" s="702"/>
      <c r="E22" s="702"/>
      <c r="F22" s="613"/>
      <c r="G22" s="711" t="s">
        <v>1235</v>
      </c>
      <c r="H22" s="705"/>
      <c r="I22" s="705"/>
      <c r="J22" s="79"/>
      <c r="M22" s="108"/>
      <c r="N22" s="108"/>
      <c r="O22" s="108"/>
      <c r="P22" s="108"/>
      <c r="Q22" s="108"/>
      <c r="R22" s="108"/>
      <c r="T22" s="701"/>
      <c r="U22" s="701"/>
      <c r="V22" s="701"/>
      <c r="W22" s="701"/>
      <c r="X22" s="701"/>
    </row>
    <row r="23" spans="1:26" ht="12.75" customHeight="1" x14ac:dyDescent="0.25">
      <c r="H23" s="613"/>
      <c r="I23" s="613"/>
      <c r="J23" s="75"/>
      <c r="L23" s="702"/>
      <c r="M23" s="702"/>
      <c r="N23" s="702"/>
      <c r="P23" s="704" t="s">
        <v>1352</v>
      </c>
      <c r="Q23" s="705"/>
      <c r="R23" s="705"/>
      <c r="T23" s="701"/>
      <c r="U23" s="701"/>
      <c r="V23" s="701"/>
      <c r="W23" s="701"/>
      <c r="X23" s="701"/>
    </row>
    <row r="24" spans="1:26" ht="14.25" customHeight="1" x14ac:dyDescent="0.25">
      <c r="A24" s="702"/>
      <c r="B24" s="702"/>
      <c r="C24" s="702"/>
      <c r="D24" s="702"/>
      <c r="E24" s="702"/>
      <c r="F24" s="613"/>
      <c r="G24" s="711" t="s">
        <v>1236</v>
      </c>
      <c r="H24" s="705"/>
      <c r="I24" s="705"/>
      <c r="J24" s="75"/>
      <c r="L24" s="703" t="s">
        <v>11</v>
      </c>
      <c r="M24" s="703"/>
      <c r="N24" s="703"/>
      <c r="P24" s="703" t="s">
        <v>12</v>
      </c>
      <c r="Q24" s="703"/>
      <c r="R24" s="703"/>
    </row>
    <row r="25" spans="1:26" ht="12.75" customHeight="1" x14ac:dyDescent="0.25">
      <c r="J25" s="75"/>
      <c r="L25" s="704" t="s">
        <v>1351</v>
      </c>
      <c r="M25" s="710"/>
      <c r="N25" s="710"/>
    </row>
    <row r="26" spans="1:26" ht="14.25" customHeight="1" x14ac:dyDescent="0.25">
      <c r="A26" s="702"/>
      <c r="B26" s="702"/>
      <c r="C26" s="702"/>
      <c r="D26" s="702"/>
      <c r="E26" s="702"/>
      <c r="F26" s="613"/>
      <c r="G26" s="711" t="s">
        <v>1237</v>
      </c>
      <c r="H26" s="705"/>
      <c r="I26" s="705"/>
      <c r="J26" s="75"/>
      <c r="L26" s="703" t="s">
        <v>13</v>
      </c>
      <c r="M26" s="703"/>
      <c r="N26" s="703"/>
    </row>
    <row r="27" spans="1:26" ht="12.75" customHeight="1" x14ac:dyDescent="0.2">
      <c r="J27" s="75"/>
      <c r="L27" s="708"/>
      <c r="M27" s="708"/>
      <c r="N27" s="708"/>
      <c r="O27" s="109"/>
      <c r="P27" s="706"/>
      <c r="Q27" s="706"/>
      <c r="R27" s="706"/>
    </row>
    <row r="28" spans="1:26" ht="12.75" customHeight="1" x14ac:dyDescent="0.25">
      <c r="A28" s="702"/>
      <c r="B28" s="702"/>
      <c r="C28" s="702"/>
      <c r="D28" s="702"/>
      <c r="E28" s="702"/>
      <c r="F28" s="613"/>
      <c r="G28" s="711" t="s">
        <v>1238</v>
      </c>
      <c r="H28" s="705"/>
      <c r="I28" s="705"/>
      <c r="J28" s="75"/>
      <c r="L28" s="702"/>
      <c r="M28" s="702"/>
      <c r="N28" s="702"/>
      <c r="P28" s="704" t="s">
        <v>1241</v>
      </c>
      <c r="Q28" s="705"/>
      <c r="R28" s="705"/>
    </row>
    <row r="29" spans="1:26" ht="14.25" customHeight="1" x14ac:dyDescent="0.2">
      <c r="D29" s="613"/>
      <c r="E29" s="613"/>
      <c r="F29" s="613"/>
      <c r="G29" s="613"/>
      <c r="J29" s="75"/>
      <c r="L29" s="703" t="s">
        <v>11</v>
      </c>
      <c r="M29" s="703"/>
      <c r="N29" s="703"/>
      <c r="P29" s="703" t="s">
        <v>12</v>
      </c>
      <c r="Q29" s="703"/>
      <c r="R29" s="703"/>
    </row>
    <row r="30" spans="1:26" ht="12.75" customHeight="1" x14ac:dyDescent="0.25">
      <c r="A30" s="702"/>
      <c r="B30" s="702"/>
      <c r="C30" s="702"/>
      <c r="D30" s="702"/>
      <c r="E30" s="702"/>
      <c r="F30" s="613"/>
      <c r="G30" s="711" t="s">
        <v>1239</v>
      </c>
      <c r="H30" s="705"/>
      <c r="I30" s="705"/>
      <c r="K30" s="86"/>
      <c r="L30" s="704" t="s">
        <v>1240</v>
      </c>
      <c r="M30" s="710"/>
      <c r="N30" s="710"/>
    </row>
    <row r="31" spans="1:26" ht="30.75" customHeight="1" x14ac:dyDescent="0.25">
      <c r="A31" s="702"/>
      <c r="B31" s="702"/>
      <c r="C31" s="702"/>
      <c r="D31" s="702"/>
      <c r="E31" s="702"/>
      <c r="F31" s="613"/>
      <c r="G31" s="711"/>
      <c r="H31" s="705"/>
      <c r="I31" s="705"/>
      <c r="J31" s="75"/>
      <c r="K31" s="86"/>
      <c r="L31" s="703" t="s">
        <v>13</v>
      </c>
      <c r="M31" s="703"/>
      <c r="N31" s="703"/>
    </row>
    <row r="32" spans="1:26" ht="12.75" customHeight="1" x14ac:dyDescent="0.2">
      <c r="J32" s="75"/>
      <c r="K32" s="68"/>
      <c r="L32" s="69" t="s">
        <v>14</v>
      </c>
      <c r="M32" s="69"/>
      <c r="N32" s="69"/>
      <c r="O32" s="69"/>
      <c r="P32" s="69"/>
      <c r="Q32" s="69"/>
      <c r="R32" s="69"/>
    </row>
    <row r="33" spans="1:18" ht="12.75" customHeight="1" x14ac:dyDescent="0.25">
      <c r="A33" s="702"/>
      <c r="B33" s="702"/>
      <c r="C33" s="702"/>
      <c r="D33" s="702"/>
      <c r="E33" s="702"/>
      <c r="F33" s="613"/>
      <c r="G33" s="704"/>
      <c r="H33" s="705"/>
      <c r="I33" s="705"/>
      <c r="J33" s="75"/>
      <c r="L33" t="s">
        <v>15</v>
      </c>
      <c r="P33" s="3" t="s">
        <v>16</v>
      </c>
      <c r="Q33" s="707">
        <f>TotExpSchoolwide</f>
        <v>4296103</v>
      </c>
      <c r="R33" s="707"/>
    </row>
    <row r="34" spans="1:18" ht="12.75" customHeight="1" x14ac:dyDescent="0.2">
      <c r="A34" s="712" t="s">
        <v>17</v>
      </c>
      <c r="B34" s="712"/>
      <c r="C34" s="712"/>
      <c r="D34" s="712"/>
      <c r="E34" s="712"/>
      <c r="F34" s="613"/>
      <c r="G34" s="712" t="s">
        <v>18</v>
      </c>
      <c r="H34" s="712"/>
      <c r="I34" s="712"/>
      <c r="J34" s="75"/>
      <c r="L34" t="s">
        <v>19</v>
      </c>
      <c r="P34" s="3" t="s">
        <v>16</v>
      </c>
      <c r="Q34" s="707">
        <f>SP1000ClassSiteProj</f>
        <v>367243</v>
      </c>
      <c r="R34" s="707"/>
    </row>
    <row r="35" spans="1:18" ht="12.75" customHeight="1" x14ac:dyDescent="0.2">
      <c r="J35" s="75"/>
    </row>
    <row r="36" spans="1:18" ht="12.75" customHeight="1" x14ac:dyDescent="0.2"/>
  </sheetData>
  <sheetProtection formatCells="0" formatColumns="0" formatRows="0"/>
  <mergeCells count="55">
    <mergeCell ref="A24:E24"/>
    <mergeCell ref="A28:E28"/>
    <mergeCell ref="A30:E30"/>
    <mergeCell ref="A31:E31"/>
    <mergeCell ref="A34:E34"/>
    <mergeCell ref="A33:E33"/>
    <mergeCell ref="G34:I34"/>
    <mergeCell ref="G24:I24"/>
    <mergeCell ref="G26:I26"/>
    <mergeCell ref="G28:I28"/>
    <mergeCell ref="G30:I30"/>
    <mergeCell ref="G31:I31"/>
    <mergeCell ref="G33:I33"/>
    <mergeCell ref="L4:R18"/>
    <mergeCell ref="L2:R3"/>
    <mergeCell ref="B6:I6"/>
    <mergeCell ref="B8:I8"/>
    <mergeCell ref="A21:E21"/>
    <mergeCell ref="B7:I7"/>
    <mergeCell ref="B10:J10"/>
    <mergeCell ref="B16:J16"/>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Q34:R34"/>
    <mergeCell ref="L31:N31"/>
    <mergeCell ref="L19:R19"/>
    <mergeCell ref="L21:N21"/>
    <mergeCell ref="O20:R20"/>
    <mergeCell ref="Q33:R33"/>
    <mergeCell ref="P29:R29"/>
    <mergeCell ref="P28:R28"/>
    <mergeCell ref="L25:N25"/>
    <mergeCell ref="L30:N30"/>
    <mergeCell ref="T20:X23"/>
    <mergeCell ref="L28:N28"/>
    <mergeCell ref="L29:N29"/>
    <mergeCell ref="L26:N26"/>
    <mergeCell ref="P23:R23"/>
    <mergeCell ref="P24:R24"/>
    <mergeCell ref="P27:R27"/>
    <mergeCell ref="L23:N2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0B35FA50-DFF3-4E41-A7BA-11080F8CE3E0}"/>
  </hyperlinks>
  <pageMargins left="0.75" right="0.25" top="0.25" bottom="0.25" header="0.5" footer="0.15"/>
  <pageSetup paperSize="5" scale="97" orientation="landscape" r:id="rId2"/>
  <headerFooter>
    <oddFooter>&amp;LRev. 8/24 Arizona Department of Education and Auditor General&amp;CFY 2024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zoomScaleNormal="100" workbookViewId="0">
      <selection activeCell="K59" sqref="K59:K61"/>
    </sheetView>
  </sheetViews>
  <sheetFormatPr defaultColWidth="9.33203125" defaultRowHeight="12.75" customHeight="1" x14ac:dyDescent="0.2"/>
  <cols>
    <col min="1" max="1" width="19.83203125" style="154" customWidth="1"/>
    <col min="2" max="2" width="42.83203125" style="154" customWidth="1"/>
    <col min="3" max="3" width="3" style="154" customWidth="1"/>
    <col min="4" max="6" width="16.83203125" style="154" customWidth="1"/>
    <col min="7" max="7" width="18.6640625" style="154" customWidth="1"/>
    <col min="8" max="10" width="17.83203125" style="157" customWidth="1"/>
    <col min="11" max="11" width="16.83203125" style="157" customWidth="1"/>
    <col min="12" max="12" width="3" style="154" customWidth="1"/>
    <col min="13" max="13" width="10.83203125" style="154" customWidth="1"/>
    <col min="14" max="14" width="9.33203125" style="154" customWidth="1"/>
    <col min="15" max="15" width="2.33203125" style="154" customWidth="1"/>
    <col min="16" max="16" width="9.33203125" style="154" customWidth="1"/>
    <col min="17" max="25" width="9.33203125" style="154" hidden="1" customWidth="1"/>
    <col min="26" max="29" width="9.33203125" style="154" customWidth="1"/>
    <col min="30" max="16384" width="9.33203125" style="154"/>
  </cols>
  <sheetData>
    <row r="1" spans="1:29" ht="12" customHeight="1" x14ac:dyDescent="0.2">
      <c r="A1" s="614" t="s">
        <v>0</v>
      </c>
      <c r="B1" s="616" t="str">
        <f>'Cover Page'!D1</f>
        <v>ASU Preparatory Academy - Phoenix Middle School</v>
      </c>
      <c r="C1" s="613"/>
      <c r="D1"/>
      <c r="E1" s="57" t="s">
        <v>1</v>
      </c>
      <c r="F1" s="730" t="str">
        <f>'Cover Page'!M1</f>
        <v>Maricopa</v>
      </c>
      <c r="G1" s="730"/>
      <c r="H1"/>
      <c r="I1" s="57"/>
      <c r="J1" s="57" t="s">
        <v>2</v>
      </c>
      <c r="K1" s="615" t="str">
        <f>'Cover Page'!R1</f>
        <v>078250000</v>
      </c>
      <c r="L1" s="267"/>
      <c r="M1" s="613"/>
      <c r="N1" s="630"/>
      <c r="O1" s="630"/>
    </row>
    <row r="2" spans="1:29" ht="12" customHeight="1" x14ac:dyDescent="0.2">
      <c r="A2" s="57"/>
      <c r="B2" s="57"/>
      <c r="C2" s="614"/>
      <c r="D2" s="613"/>
      <c r="E2"/>
      <c r="F2"/>
      <c r="G2"/>
      <c r="H2" s="57"/>
      <c r="I2" s="613"/>
      <c r="J2" s="613"/>
      <c r="K2" s="613"/>
      <c r="L2"/>
      <c r="M2" s="613"/>
      <c r="N2" s="630"/>
      <c r="O2" s="630"/>
    </row>
    <row r="3" spans="1:29" ht="12" customHeight="1" x14ac:dyDescent="0.2">
      <c r="A3" s="268"/>
      <c r="B3" s="268"/>
      <c r="C3" s="268"/>
      <c r="D3" s="268"/>
      <c r="E3" s="268"/>
      <c r="F3" s="268"/>
      <c r="G3" s="268"/>
      <c r="H3" s="268"/>
      <c r="I3" s="268"/>
      <c r="J3" s="268"/>
      <c r="K3" s="268"/>
      <c r="L3" s="268"/>
      <c r="M3" s="268"/>
    </row>
    <row r="4" spans="1:29" ht="12" customHeight="1" x14ac:dyDescent="0.2">
      <c r="A4" s="268"/>
      <c r="B4" s="268"/>
      <c r="C4" s="808" t="s">
        <v>359</v>
      </c>
      <c r="D4" s="808"/>
      <c r="E4" s="808"/>
      <c r="F4" s="808"/>
      <c r="G4" s="808"/>
      <c r="H4" s="808"/>
      <c r="I4" s="808"/>
      <c r="J4" s="808"/>
      <c r="K4" s="808"/>
      <c r="L4" s="808"/>
      <c r="M4" s="268"/>
    </row>
    <row r="5" spans="1:29" ht="12" customHeight="1" x14ac:dyDescent="0.2"/>
    <row r="6" spans="1:29" ht="12" customHeight="1" x14ac:dyDescent="0.2">
      <c r="A6" s="269"/>
      <c r="B6" s="269"/>
      <c r="D6" s="809" t="s">
        <v>360</v>
      </c>
      <c r="E6" s="809"/>
      <c r="F6" s="809"/>
      <c r="G6" s="809"/>
      <c r="H6" s="809"/>
      <c r="I6" s="809"/>
      <c r="J6" s="809"/>
      <c r="K6" s="809"/>
      <c r="L6" s="270"/>
      <c r="M6" s="157"/>
      <c r="N6" s="157"/>
      <c r="V6" s="271"/>
    </row>
    <row r="7" spans="1:29" ht="12" customHeight="1" x14ac:dyDescent="0.2">
      <c r="D7" s="272"/>
      <c r="E7" s="273"/>
      <c r="F7" s="273" t="s">
        <v>153</v>
      </c>
      <c r="G7" s="273"/>
      <c r="H7" s="273"/>
      <c r="I7" s="274"/>
      <c r="J7" s="274" t="s">
        <v>97</v>
      </c>
      <c r="K7" s="275"/>
      <c r="L7" s="276"/>
      <c r="M7" s="157"/>
      <c r="N7" s="157"/>
      <c r="T7" s="271"/>
      <c r="V7" s="271"/>
    </row>
    <row r="8" spans="1:29" ht="12" customHeight="1" x14ac:dyDescent="0.2">
      <c r="D8" s="277"/>
      <c r="E8" s="278" t="s">
        <v>88</v>
      </c>
      <c r="F8" s="278" t="s">
        <v>95</v>
      </c>
      <c r="G8" s="278"/>
      <c r="H8" s="279" t="s">
        <v>361</v>
      </c>
      <c r="I8" s="279"/>
      <c r="J8" s="279" t="s">
        <v>362</v>
      </c>
      <c r="K8" s="275"/>
      <c r="L8" s="280"/>
      <c r="N8" s="157"/>
      <c r="U8" s="271"/>
      <c r="AC8" s="271"/>
    </row>
    <row r="9" spans="1:29" ht="12" customHeight="1" x14ac:dyDescent="0.2">
      <c r="D9" s="278" t="s">
        <v>93</v>
      </c>
      <c r="E9" s="281" t="s">
        <v>94</v>
      </c>
      <c r="F9" s="281" t="s">
        <v>363</v>
      </c>
      <c r="G9" s="281" t="s">
        <v>96</v>
      </c>
      <c r="H9" s="279" t="s">
        <v>364</v>
      </c>
      <c r="I9" s="282" t="s">
        <v>365</v>
      </c>
      <c r="J9" s="282" t="s">
        <v>366</v>
      </c>
      <c r="K9" s="283" t="s">
        <v>367</v>
      </c>
      <c r="L9" s="280"/>
      <c r="N9" s="157"/>
      <c r="U9" s="271"/>
      <c r="AA9" s="271"/>
    </row>
    <row r="10" spans="1:29" ht="12" customHeight="1" x14ac:dyDescent="0.2">
      <c r="A10" s="284" t="s">
        <v>368</v>
      </c>
      <c r="B10" s="284"/>
      <c r="D10" s="281">
        <v>6100</v>
      </c>
      <c r="E10" s="281">
        <v>6200</v>
      </c>
      <c r="F10" s="281">
        <v>6500</v>
      </c>
      <c r="G10" s="281">
        <v>6600</v>
      </c>
      <c r="H10" s="281">
        <v>6810</v>
      </c>
      <c r="I10" s="282">
        <v>6890</v>
      </c>
      <c r="J10" s="282" t="s">
        <v>369</v>
      </c>
      <c r="K10" s="285" t="s">
        <v>370</v>
      </c>
      <c r="L10" s="280"/>
      <c r="N10" s="157"/>
      <c r="S10" s="271"/>
      <c r="AA10" s="157"/>
    </row>
    <row r="11" spans="1:29" ht="12" customHeight="1" x14ac:dyDescent="0.2">
      <c r="A11" s="627" t="s">
        <v>206</v>
      </c>
      <c r="B11" s="627"/>
      <c r="C11" s="286" t="s">
        <v>24</v>
      </c>
      <c r="D11" s="598">
        <f>Calculations!E8</f>
        <v>1801660</v>
      </c>
      <c r="E11" s="598">
        <f>Calculations!E113</f>
        <v>460301</v>
      </c>
      <c r="F11" s="598">
        <f>Calculations!E238</f>
        <v>160639</v>
      </c>
      <c r="G11" s="598">
        <f>Calculations!E636</f>
        <v>126717</v>
      </c>
      <c r="H11" s="598">
        <f>Calculations!E951</f>
        <v>9208</v>
      </c>
      <c r="I11" s="598">
        <f>Calculations!E1116</f>
        <v>648</v>
      </c>
      <c r="J11" s="598">
        <f>Calculations!E1454-H11-I11</f>
        <v>-746</v>
      </c>
      <c r="K11" s="590">
        <v>0</v>
      </c>
      <c r="L11" s="287" t="s">
        <v>24</v>
      </c>
      <c r="N11" s="157"/>
      <c r="S11" s="271"/>
      <c r="AA11" s="288" t="str">
        <f>IF(OR(K11="",K14="",K13="",K15="",K16="",K17="",K18="",K19="",K21="",K22="",K24="",K25="",K26=""),"yes","")</f>
        <v/>
      </c>
    </row>
    <row r="12" spans="1:29" ht="12" customHeight="1" x14ac:dyDescent="0.2">
      <c r="A12" s="154" t="s">
        <v>207</v>
      </c>
      <c r="C12" s="286"/>
      <c r="D12" s="289"/>
      <c r="E12" s="289"/>
      <c r="F12" s="289"/>
      <c r="G12" s="289"/>
      <c r="H12" s="289"/>
      <c r="I12" s="289"/>
      <c r="J12" s="289"/>
      <c r="K12" s="85"/>
      <c r="L12" s="287"/>
      <c r="N12" s="157"/>
      <c r="S12" s="271"/>
      <c r="AA12" s="288" t="str">
        <f>IF(OR(E33="",E34="",E35="",E36="",E40="",E41="",E42="",E43="",E44="",E49="",E53="",E54="",E55="",E56=""),"yes","")</f>
        <v/>
      </c>
    </row>
    <row r="13" spans="1:29" ht="12" customHeight="1" x14ac:dyDescent="0.2">
      <c r="A13" s="627" t="s">
        <v>371</v>
      </c>
      <c r="B13" s="627"/>
      <c r="C13" s="286" t="s">
        <v>26</v>
      </c>
      <c r="D13" s="603">
        <f>Calculations!E15</f>
        <v>261127</v>
      </c>
      <c r="E13" s="603">
        <f>Calculations!E120</f>
        <v>72247</v>
      </c>
      <c r="F13" s="603">
        <f>Calculations!E265</f>
        <v>184296</v>
      </c>
      <c r="G13" s="603">
        <f>Calculations!E643</f>
        <v>31180</v>
      </c>
      <c r="H13" s="603">
        <f>Calculations!E958</f>
        <v>878</v>
      </c>
      <c r="I13" s="603">
        <f>Calculations!E1123</f>
        <v>0</v>
      </c>
      <c r="J13" s="603">
        <f>Calculations!E1459-H13-I13</f>
        <v>0</v>
      </c>
      <c r="K13" s="48">
        <v>0</v>
      </c>
      <c r="L13" s="287" t="s">
        <v>26</v>
      </c>
      <c r="W13" s="271"/>
      <c r="AA13" s="288" t="str">
        <f>IF(OR(K30="",K31="",K32="",K36="",K37="",K38="",K41="",K42="",K46="",K47="",K51="",K52="",K53="",K54="",K55="",K56="",K59="",K60=""),"yes","")</f>
        <v/>
      </c>
    </row>
    <row r="14" spans="1:29" ht="12" customHeight="1" x14ac:dyDescent="0.2">
      <c r="A14" s="627" t="s">
        <v>372</v>
      </c>
      <c r="B14" s="627"/>
      <c r="C14" s="286" t="s">
        <v>28</v>
      </c>
      <c r="D14" s="598">
        <f>Calculations!E22</f>
        <v>60507</v>
      </c>
      <c r="E14" s="598">
        <f>Calculations!E127</f>
        <v>17257</v>
      </c>
      <c r="F14" s="598">
        <f>Calculations!E292</f>
        <v>8084</v>
      </c>
      <c r="G14" s="598">
        <f>Calculations!E650</f>
        <v>1895</v>
      </c>
      <c r="H14" s="598">
        <f>Calculations!E965</f>
        <v>255</v>
      </c>
      <c r="I14" s="598">
        <f>Calculations!E1130</f>
        <v>0</v>
      </c>
      <c r="J14" s="598">
        <f>Calculations!E1464-H14-I14</f>
        <v>0</v>
      </c>
      <c r="K14" s="48">
        <v>0</v>
      </c>
      <c r="L14" s="290" t="s">
        <v>28</v>
      </c>
      <c r="N14" s="157"/>
      <c r="W14" s="271"/>
      <c r="AA14" s="288" t="str">
        <f>IF(AND(AA11="",AA12="",AA13=""),"","yes")</f>
        <v/>
      </c>
    </row>
    <row r="15" spans="1:29" ht="12" customHeight="1" x14ac:dyDescent="0.2">
      <c r="A15" s="627" t="s">
        <v>373</v>
      </c>
      <c r="B15" s="627"/>
      <c r="C15" s="286" t="s">
        <v>31</v>
      </c>
      <c r="D15" s="598">
        <f>Calculations!E29</f>
        <v>23981</v>
      </c>
      <c r="E15" s="598">
        <f>Calculations!E134</f>
        <v>5020</v>
      </c>
      <c r="F15" s="598">
        <f>Calculations!E319</f>
        <v>4008</v>
      </c>
      <c r="G15" s="598">
        <f>Calculations!E657</f>
        <v>629</v>
      </c>
      <c r="H15" s="598">
        <f>Calculations!E972</f>
        <v>1403</v>
      </c>
      <c r="I15" s="598">
        <f>Calculations!E1137</f>
        <v>0</v>
      </c>
      <c r="J15" s="598">
        <f>Calculations!E1469-H15-I15</f>
        <v>683</v>
      </c>
      <c r="K15" s="47">
        <v>0</v>
      </c>
      <c r="L15" s="290" t="s">
        <v>31</v>
      </c>
    </row>
    <row r="16" spans="1:29" ht="12" customHeight="1" x14ac:dyDescent="0.2">
      <c r="A16" s="291" t="s">
        <v>374</v>
      </c>
      <c r="B16" s="291"/>
      <c r="C16" s="292" t="s">
        <v>33</v>
      </c>
      <c r="D16" s="598">
        <f>Calculations!E36</f>
        <v>193426</v>
      </c>
      <c r="E16" s="598">
        <f>Calculations!E141</f>
        <v>44960</v>
      </c>
      <c r="F16" s="598">
        <f>Calculations!E346</f>
        <v>335</v>
      </c>
      <c r="G16" s="598">
        <f>Calculations!E664</f>
        <v>6058</v>
      </c>
      <c r="H16" s="598">
        <f>Calculations!E979</f>
        <v>2569</v>
      </c>
      <c r="I16" s="598">
        <f>Calculations!E1144</f>
        <v>0</v>
      </c>
      <c r="J16" s="598">
        <f>Calculations!E1474-H16-I16</f>
        <v>0</v>
      </c>
      <c r="K16" s="47">
        <v>0</v>
      </c>
      <c r="L16" s="293" t="s">
        <v>33</v>
      </c>
    </row>
    <row r="17" spans="1:12" ht="12" customHeight="1" x14ac:dyDescent="0.2">
      <c r="A17" s="294" t="s">
        <v>375</v>
      </c>
      <c r="B17" s="294"/>
      <c r="C17" s="292" t="s">
        <v>35</v>
      </c>
      <c r="D17" s="598">
        <f>Calculations!E43+Calculations!E50</f>
        <v>340935</v>
      </c>
      <c r="E17" s="598">
        <f>Calculations!E148+Calculations!E155</f>
        <v>285146</v>
      </c>
      <c r="F17" s="598">
        <f>Calculations!E373+Calculations!E400</f>
        <v>225334</v>
      </c>
      <c r="G17" s="598">
        <f>Calculations!E671+Calculations!E678</f>
        <v>20091</v>
      </c>
      <c r="H17" s="598">
        <f>Calculations!E986+Calculations!E993</f>
        <v>136458</v>
      </c>
      <c r="I17" s="598">
        <f>Calculations!E1151+Calculations!E1158</f>
        <v>1501</v>
      </c>
      <c r="J17" s="598">
        <f>Calculations!E1479+Calculations!E1484-Calculations!E1082-H17-I17</f>
        <v>23614</v>
      </c>
      <c r="K17" s="47">
        <v>0</v>
      </c>
      <c r="L17" s="293" t="s">
        <v>35</v>
      </c>
    </row>
    <row r="18" spans="1:12" ht="12" customHeight="1" x14ac:dyDescent="0.2">
      <c r="A18" s="627" t="s">
        <v>376</v>
      </c>
      <c r="B18" s="627"/>
      <c r="C18" s="292" t="s">
        <v>37</v>
      </c>
      <c r="D18" s="598">
        <f>Calculations!E57</f>
        <v>56666</v>
      </c>
      <c r="E18" s="598">
        <f>Calculations!E162</f>
        <v>14990</v>
      </c>
      <c r="F18" s="598">
        <f>Calculations!E427</f>
        <v>476388</v>
      </c>
      <c r="G18" s="598">
        <f>Calculations!E685</f>
        <v>114760</v>
      </c>
      <c r="H18" s="598">
        <f>Calculations!E1000</f>
        <v>2022</v>
      </c>
      <c r="I18" s="598">
        <f>Calculations!E1165</f>
        <v>0</v>
      </c>
      <c r="J18" s="598">
        <f>Calculations!E1489-H18-I18</f>
        <v>0</v>
      </c>
      <c r="K18" s="47">
        <v>0</v>
      </c>
      <c r="L18" s="293" t="s">
        <v>37</v>
      </c>
    </row>
    <row r="19" spans="1:12" ht="12" customHeight="1" x14ac:dyDescent="0.2">
      <c r="A19" s="295" t="s">
        <v>377</v>
      </c>
      <c r="B19" s="295"/>
      <c r="C19" s="292" t="s">
        <v>39</v>
      </c>
      <c r="D19" s="598">
        <f>Calculations!E64</f>
        <v>804</v>
      </c>
      <c r="E19" s="598">
        <f>Calculations!E169</f>
        <v>163</v>
      </c>
      <c r="F19" s="598">
        <f>Calculations!E454</f>
        <v>116950</v>
      </c>
      <c r="G19" s="598">
        <f>Calculations!E692</f>
        <v>0</v>
      </c>
      <c r="H19" s="598">
        <f>Calculations!E1007</f>
        <v>0</v>
      </c>
      <c r="I19" s="598">
        <f>Calculations!E1172</f>
        <v>0</v>
      </c>
      <c r="J19" s="598">
        <f>Calculations!E1494-H19-I19</f>
        <v>0</v>
      </c>
      <c r="K19" s="50">
        <v>0</v>
      </c>
      <c r="L19" s="293" t="s">
        <v>39</v>
      </c>
    </row>
    <row r="20" spans="1:12" ht="12" customHeight="1" x14ac:dyDescent="0.2">
      <c r="A20" s="627" t="s">
        <v>378</v>
      </c>
      <c r="B20" s="627"/>
      <c r="C20" s="292"/>
      <c r="D20" s="289"/>
      <c r="E20" s="289"/>
      <c r="F20" s="289"/>
      <c r="G20" s="289"/>
      <c r="H20" s="289"/>
      <c r="I20" s="289"/>
      <c r="J20" s="289"/>
      <c r="K20" s="85"/>
      <c r="L20" s="296"/>
    </row>
    <row r="21" spans="1:12" ht="12" customHeight="1" x14ac:dyDescent="0.2">
      <c r="A21" s="295" t="s">
        <v>379</v>
      </c>
      <c r="B21" s="295"/>
      <c r="C21" s="292" t="s">
        <v>41</v>
      </c>
      <c r="D21" s="603">
        <f>Calculations!E71</f>
        <v>13033</v>
      </c>
      <c r="E21" s="603">
        <f>Calculations!E176</f>
        <v>2825</v>
      </c>
      <c r="F21" s="603">
        <f>Calculations!E481</f>
        <v>738</v>
      </c>
      <c r="G21" s="603">
        <f>Calculations!E699</f>
        <v>171098</v>
      </c>
      <c r="H21" s="603">
        <f>Calculations!E1014</f>
        <v>1807</v>
      </c>
      <c r="I21" s="603">
        <f>Calculations!E1179</f>
        <v>0</v>
      </c>
      <c r="J21" s="603">
        <f>Calculations!E1499-H21-I21</f>
        <v>0</v>
      </c>
      <c r="K21" s="48">
        <v>0</v>
      </c>
      <c r="L21" s="296" t="s">
        <v>41</v>
      </c>
    </row>
    <row r="22" spans="1:12" ht="12" customHeight="1" x14ac:dyDescent="0.2">
      <c r="A22" s="295" t="s">
        <v>380</v>
      </c>
      <c r="B22" s="295"/>
      <c r="C22" s="292" t="s">
        <v>43</v>
      </c>
      <c r="D22" s="598">
        <f>Calculations!E85</f>
        <v>0</v>
      </c>
      <c r="E22" s="598">
        <f>Calculations!E190</f>
        <v>0</v>
      </c>
      <c r="F22" s="598">
        <f>Calculations!E535</f>
        <v>0</v>
      </c>
      <c r="G22" s="598">
        <f>Calculations!E713</f>
        <v>0</v>
      </c>
      <c r="H22" s="598">
        <f>Calculations!E1028</f>
        <v>0</v>
      </c>
      <c r="I22" s="598">
        <f>Calculations!E1193</f>
        <v>0</v>
      </c>
      <c r="J22" s="598">
        <f>Calculations!E1504-H22-I22</f>
        <v>0</v>
      </c>
      <c r="K22" s="48">
        <v>0</v>
      </c>
      <c r="L22" s="293" t="s">
        <v>43</v>
      </c>
    </row>
    <row r="23" spans="1:12" ht="12" customHeight="1" x14ac:dyDescent="0.2">
      <c r="A23" s="295" t="s">
        <v>381</v>
      </c>
      <c r="B23" s="295"/>
      <c r="C23" s="292" t="s">
        <v>45</v>
      </c>
      <c r="D23" s="598">
        <f t="shared" ref="D23:K23" si="0">SUM(D11:D22)</f>
        <v>2752139</v>
      </c>
      <c r="E23" s="598">
        <f t="shared" si="0"/>
        <v>902909</v>
      </c>
      <c r="F23" s="598">
        <f t="shared" si="0"/>
        <v>1176772</v>
      </c>
      <c r="G23" s="598">
        <f t="shared" si="0"/>
        <v>472428</v>
      </c>
      <c r="H23" s="598">
        <f t="shared" si="0"/>
        <v>154600</v>
      </c>
      <c r="I23" s="598">
        <f t="shared" si="0"/>
        <v>2149</v>
      </c>
      <c r="J23" s="598">
        <f t="shared" si="0"/>
        <v>23551</v>
      </c>
      <c r="K23" s="598">
        <f t="shared" si="0"/>
        <v>0</v>
      </c>
      <c r="L23" s="293" t="s">
        <v>45</v>
      </c>
    </row>
    <row r="24" spans="1:12" ht="12" customHeight="1" x14ac:dyDescent="0.2">
      <c r="A24" s="295" t="s">
        <v>382</v>
      </c>
      <c r="B24" s="295"/>
      <c r="C24" s="292" t="s">
        <v>47</v>
      </c>
      <c r="D24" s="598">
        <f>Calculations!E106</f>
        <v>439995</v>
      </c>
      <c r="E24" s="598">
        <f>Calculations!E211</f>
        <v>142442</v>
      </c>
      <c r="F24" s="598">
        <f>Calculations!E629</f>
        <v>105474</v>
      </c>
      <c r="G24" s="596">
        <f>Calculations!E734+'[2]Food Service AFR'!$E$10+'[2]Food Service AFR'!$E$11</f>
        <v>225744</v>
      </c>
      <c r="H24" s="598">
        <f>Calculations!E1049</f>
        <v>0</v>
      </c>
      <c r="I24" s="598">
        <f>Calculations!E1214</f>
        <v>0</v>
      </c>
      <c r="J24" s="598">
        <f>Calculations!E1518-Calculations!E1109-H24-I24</f>
        <v>0</v>
      </c>
      <c r="K24" s="47">
        <v>0</v>
      </c>
      <c r="L24" s="293" t="s">
        <v>47</v>
      </c>
    </row>
    <row r="25" spans="1:12" ht="12" customHeight="1" x14ac:dyDescent="0.2">
      <c r="A25" s="295" t="s">
        <v>383</v>
      </c>
      <c r="B25" s="295"/>
      <c r="C25" s="292" t="s">
        <v>49</v>
      </c>
      <c r="D25" s="598">
        <f>Calculations!E93-Calculations!E106</f>
        <v>2312144</v>
      </c>
      <c r="E25" s="598">
        <f>Calculations!E198-Calculations!E211</f>
        <v>760467</v>
      </c>
      <c r="F25" s="598">
        <f>Calculations!E563-Calculations!E629</f>
        <v>1071298</v>
      </c>
      <c r="G25" s="596">
        <f>Calculations!E721-Calculations!E734-'[2]Food Service AFR'!$E$10-'[2]Food Service AFR'!$E$11</f>
        <v>246684</v>
      </c>
      <c r="H25" s="598">
        <f>Calculations!E1036-Calculations!E1049</f>
        <v>154600</v>
      </c>
      <c r="I25" s="598">
        <f>Calculations!E1201-Calculations!E1214</f>
        <v>2149</v>
      </c>
      <c r="J25" s="598">
        <f>Calculations!E1505-Calculations!E1518-Calculations!E1082-H25-I25</f>
        <v>23551</v>
      </c>
      <c r="K25" s="47">
        <v>0</v>
      </c>
      <c r="L25" s="293" t="s">
        <v>49</v>
      </c>
    </row>
    <row r="26" spans="1:12" ht="12" customHeight="1" x14ac:dyDescent="0.2">
      <c r="A26" s="295" t="s">
        <v>384</v>
      </c>
      <c r="B26" s="295"/>
      <c r="C26" s="292" t="s">
        <v>51</v>
      </c>
      <c r="D26" s="598">
        <f>Calculations!E92</f>
        <v>0</v>
      </c>
      <c r="E26" s="598">
        <f>Calculations!E197</f>
        <v>0</v>
      </c>
      <c r="F26" s="598">
        <f>Calculations!E562</f>
        <v>0</v>
      </c>
      <c r="G26" s="598">
        <f>Calculations!E720</f>
        <v>0</v>
      </c>
      <c r="H26" s="598">
        <f>Calculations!E1035</f>
        <v>0</v>
      </c>
      <c r="I26" s="598">
        <f>Calculations!E1200</f>
        <v>0</v>
      </c>
      <c r="J26" s="598">
        <f>Calculations!E1523-H26-I26</f>
        <v>0</v>
      </c>
      <c r="K26" s="47">
        <v>0</v>
      </c>
      <c r="L26" s="293" t="s">
        <v>51</v>
      </c>
    </row>
    <row r="27" spans="1:12" ht="12" customHeight="1" x14ac:dyDescent="0.2">
      <c r="B27" s="627"/>
      <c r="C27" s="292"/>
      <c r="D27" s="297"/>
      <c r="E27" s="297"/>
      <c r="F27" s="297"/>
      <c r="G27" s="297"/>
      <c r="H27" s="297"/>
      <c r="I27" s="297"/>
      <c r="J27" s="297"/>
      <c r="K27" s="298"/>
      <c r="L27" s="297"/>
    </row>
    <row r="28" spans="1:12" hidden="1" x14ac:dyDescent="0.2">
      <c r="A28" s="299"/>
      <c r="B28" s="627"/>
      <c r="C28" s="292"/>
      <c r="D28" s="297"/>
      <c r="E28" s="297"/>
      <c r="F28" s="297"/>
      <c r="G28" s="297"/>
      <c r="H28" s="297"/>
      <c r="I28" s="297"/>
      <c r="J28" s="297"/>
      <c r="K28" s="298"/>
      <c r="L28" s="297"/>
    </row>
    <row r="29" spans="1:12" ht="12" customHeight="1" x14ac:dyDescent="0.2">
      <c r="A29" s="300"/>
      <c r="B29" s="300"/>
      <c r="C29" s="300"/>
      <c r="D29" s="301" t="s">
        <v>385</v>
      </c>
      <c r="E29" s="302"/>
      <c r="F29" s="303"/>
      <c r="H29" s="304" t="s">
        <v>1188</v>
      </c>
      <c r="I29" s="219"/>
      <c r="J29" s="304"/>
    </row>
    <row r="30" spans="1:12" ht="12" customHeight="1" x14ac:dyDescent="0.2">
      <c r="A30" s="300"/>
      <c r="B30" s="300"/>
      <c r="C30" s="305"/>
      <c r="D30" s="153" t="s">
        <v>386</v>
      </c>
      <c r="E30" s="306"/>
      <c r="F30" s="303"/>
      <c r="H30" s="810" t="s">
        <v>387</v>
      </c>
      <c r="I30" s="810"/>
      <c r="J30" s="811"/>
      <c r="K30" s="47">
        <v>0</v>
      </c>
      <c r="L30" s="307" t="s">
        <v>24</v>
      </c>
    </row>
    <row r="31" spans="1:12" ht="12" customHeight="1" x14ac:dyDescent="0.2">
      <c r="A31" s="300"/>
      <c r="B31" s="300"/>
      <c r="C31" s="305"/>
      <c r="D31" s="153" t="s">
        <v>388</v>
      </c>
      <c r="E31" s="308" t="s">
        <v>389</v>
      </c>
      <c r="F31" s="303"/>
      <c r="H31" s="810" t="s">
        <v>390</v>
      </c>
      <c r="I31" s="810"/>
      <c r="J31" s="811"/>
      <c r="K31" s="47">
        <v>0</v>
      </c>
      <c r="L31" s="307" t="s">
        <v>26</v>
      </c>
    </row>
    <row r="32" spans="1:12" ht="12" customHeight="1" x14ac:dyDescent="0.2">
      <c r="A32" s="300"/>
      <c r="B32" s="300"/>
      <c r="C32" s="305"/>
      <c r="D32" s="309" t="s">
        <v>391</v>
      </c>
      <c r="E32" s="310" t="s">
        <v>370</v>
      </c>
      <c r="F32" s="300"/>
      <c r="H32" s="810" t="s">
        <v>392</v>
      </c>
      <c r="I32" s="810"/>
      <c r="J32" s="811"/>
      <c r="K32" s="47">
        <f>CashBal</f>
        <v>752438</v>
      </c>
      <c r="L32" s="307" t="s">
        <v>28</v>
      </c>
    </row>
    <row r="33" spans="1:12" ht="12" customHeight="1" x14ac:dyDescent="0.2">
      <c r="A33" s="812" t="s">
        <v>393</v>
      </c>
      <c r="B33" s="812"/>
      <c r="C33" s="311"/>
      <c r="D33" s="598">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7">
        <v>0</v>
      </c>
      <c r="F33" s="312" t="s">
        <v>24</v>
      </c>
      <c r="H33" s="154"/>
      <c r="I33" s="154"/>
      <c r="J33" s="154"/>
      <c r="K33" s="313"/>
    </row>
    <row r="34" spans="1:12" ht="12" customHeight="1" x14ac:dyDescent="0.2">
      <c r="A34" s="810" t="s">
        <v>394</v>
      </c>
      <c r="B34" s="810"/>
      <c r="C34" s="628"/>
      <c r="D34" s="598">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7">
        <v>0</v>
      </c>
      <c r="F34" s="312" t="s">
        <v>26</v>
      </c>
      <c r="H34" s="154"/>
      <c r="I34" s="154"/>
      <c r="J34" s="154"/>
      <c r="K34" s="313"/>
    </row>
    <row r="35" spans="1:12" ht="12" customHeight="1" x14ac:dyDescent="0.2">
      <c r="A35" s="810" t="s">
        <v>395</v>
      </c>
      <c r="B35" s="810"/>
      <c r="C35" s="628"/>
      <c r="D35" s="598">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47">
        <v>0</v>
      </c>
      <c r="F35" s="312" t="s">
        <v>28</v>
      </c>
      <c r="H35" s="304" t="s">
        <v>396</v>
      </c>
      <c r="I35" s="219"/>
      <c r="J35" s="154"/>
      <c r="K35" s="313"/>
    </row>
    <row r="36" spans="1:12" ht="12" customHeight="1" x14ac:dyDescent="0.2">
      <c r="A36" s="810" t="s">
        <v>397</v>
      </c>
      <c r="B36" s="810"/>
      <c r="C36" s="311"/>
      <c r="D36" s="598">
        <f>Calculations!E1335</f>
        <v>0</v>
      </c>
      <c r="E36" s="47">
        <v>0</v>
      </c>
      <c r="F36" s="296" t="s">
        <v>31</v>
      </c>
      <c r="H36" s="812" t="s">
        <v>1189</v>
      </c>
      <c r="I36" s="812"/>
      <c r="J36" s="814"/>
      <c r="K36" s="47">
        <v>0</v>
      </c>
      <c r="L36" s="307" t="s">
        <v>24</v>
      </c>
    </row>
    <row r="37" spans="1:12" ht="12" customHeight="1" x14ac:dyDescent="0.2">
      <c r="C37" s="307"/>
      <c r="E37" s="157"/>
      <c r="F37" s="312"/>
      <c r="H37" s="812" t="s">
        <v>1190</v>
      </c>
      <c r="I37" s="812"/>
      <c r="J37" s="814"/>
      <c r="K37" s="47">
        <v>0</v>
      </c>
      <c r="L37" s="307" t="s">
        <v>26</v>
      </c>
    </row>
    <row r="38" spans="1:12" ht="12" customHeight="1" x14ac:dyDescent="0.2">
      <c r="C38" s="307"/>
      <c r="E38" s="157"/>
      <c r="F38" s="312"/>
      <c r="H38" s="812" t="s">
        <v>1191</v>
      </c>
      <c r="I38" s="812"/>
      <c r="J38" s="814"/>
      <c r="K38" s="47">
        <v>0</v>
      </c>
      <c r="L38" s="307" t="s">
        <v>28</v>
      </c>
    </row>
    <row r="39" spans="1:12" ht="12" customHeight="1" x14ac:dyDescent="0.2">
      <c r="A39" s="304" t="s">
        <v>398</v>
      </c>
      <c r="B39" s="219"/>
      <c r="E39" s="314" t="s">
        <v>399</v>
      </c>
      <c r="F39"/>
      <c r="H39" s="812" t="s">
        <v>1192</v>
      </c>
      <c r="I39" s="812"/>
      <c r="J39" s="814"/>
      <c r="K39" s="598">
        <f>K36+K37-K38</f>
        <v>0</v>
      </c>
      <c r="L39" s="307" t="s">
        <v>31</v>
      </c>
    </row>
    <row r="40" spans="1:12" ht="12" customHeight="1" x14ac:dyDescent="0.2">
      <c r="A40" s="813" t="s">
        <v>400</v>
      </c>
      <c r="B40" s="725"/>
      <c r="E40" s="49">
        <v>0</v>
      </c>
      <c r="F40" s="225" t="s">
        <v>24</v>
      </c>
      <c r="K40" s="313"/>
    </row>
    <row r="41" spans="1:12" ht="12" customHeight="1" x14ac:dyDescent="0.2">
      <c r="A41" s="725" t="s">
        <v>401</v>
      </c>
      <c r="B41" s="725"/>
      <c r="C41" s="315"/>
      <c r="E41" s="49">
        <v>0</v>
      </c>
      <c r="F41" s="296" t="s">
        <v>26</v>
      </c>
      <c r="H41" s="812" t="s">
        <v>1193</v>
      </c>
      <c r="I41" s="812"/>
      <c r="J41" s="812"/>
      <c r="K41" s="49">
        <v>0</v>
      </c>
      <c r="L41" s="307" t="s">
        <v>33</v>
      </c>
    </row>
    <row r="42" spans="1:12" ht="12" customHeight="1" x14ac:dyDescent="0.2">
      <c r="A42" s="725" t="s">
        <v>402</v>
      </c>
      <c r="B42" s="725"/>
      <c r="C42" s="315"/>
      <c r="E42" s="49">
        <v>0</v>
      </c>
      <c r="F42" s="296" t="s">
        <v>28</v>
      </c>
      <c r="H42" s="812" t="s">
        <v>1194</v>
      </c>
      <c r="I42" s="812"/>
      <c r="J42" s="812"/>
      <c r="K42" s="49">
        <v>0</v>
      </c>
      <c r="L42" s="307" t="s">
        <v>35</v>
      </c>
    </row>
    <row r="43" spans="1:12" ht="12" customHeight="1" x14ac:dyDescent="0.2">
      <c r="A43" s="725" t="s">
        <v>403</v>
      </c>
      <c r="B43" s="725"/>
      <c r="C43" s="315"/>
      <c r="E43" s="49">
        <v>0</v>
      </c>
      <c r="F43" s="296" t="s">
        <v>31</v>
      </c>
      <c r="K43" s="313"/>
    </row>
    <row r="44" spans="1:12" ht="12" customHeight="1" x14ac:dyDescent="0.2">
      <c r="A44" s="725" t="s">
        <v>404</v>
      </c>
      <c r="B44" s="725"/>
      <c r="C44" s="315"/>
      <c r="E44" s="49">
        <v>0</v>
      </c>
      <c r="F44" s="296" t="s">
        <v>33</v>
      </c>
      <c r="H44" s="307"/>
      <c r="I44" s="316"/>
      <c r="J44" s="316"/>
      <c r="K44" s="317"/>
      <c r="L44" s="316"/>
    </row>
    <row r="45" spans="1:12" ht="12" customHeight="1" x14ac:dyDescent="0.2">
      <c r="A45"/>
      <c r="B45"/>
      <c r="C45" s="307"/>
      <c r="E45"/>
      <c r="F45"/>
      <c r="H45" s="304" t="s">
        <v>405</v>
      </c>
      <c r="I45" s="219"/>
      <c r="J45" s="304"/>
      <c r="K45" s="313"/>
    </row>
    <row r="46" spans="1:12" ht="12.75" customHeight="1" x14ac:dyDescent="0.2">
      <c r="E46" s="318"/>
      <c r="H46" s="812" t="s">
        <v>406</v>
      </c>
      <c r="I46" s="812"/>
      <c r="J46" s="814"/>
      <c r="K46" s="47">
        <v>30455</v>
      </c>
      <c r="L46" s="307" t="s">
        <v>24</v>
      </c>
    </row>
    <row r="47" spans="1:12" ht="12.75" customHeight="1" x14ac:dyDescent="0.2">
      <c r="A47" s="319" t="s">
        <v>407</v>
      </c>
      <c r="B47" s="320"/>
      <c r="C47" s="303"/>
      <c r="E47" s="321" t="s">
        <v>360</v>
      </c>
      <c r="H47" s="812" t="s">
        <v>408</v>
      </c>
      <c r="I47" s="812"/>
      <c r="J47" s="814"/>
      <c r="K47" s="47">
        <v>149425</v>
      </c>
      <c r="L47" s="307" t="s">
        <v>26</v>
      </c>
    </row>
    <row r="48" spans="1:12" ht="12.75" customHeight="1" x14ac:dyDescent="0.2">
      <c r="A48" s="627" t="s">
        <v>409</v>
      </c>
      <c r="B48" s="627"/>
      <c r="C48" s="322"/>
      <c r="E48" s="598">
        <f>Calculations!E1082+Calculations!E1449</f>
        <v>0</v>
      </c>
      <c r="F48" s="312" t="s">
        <v>24</v>
      </c>
      <c r="G48" s="627"/>
      <c r="K48" s="313"/>
    </row>
    <row r="49" spans="1:15" ht="12.75" customHeight="1" x14ac:dyDescent="0.2">
      <c r="A49" s="812" t="s">
        <v>410</v>
      </c>
      <c r="B49" s="812"/>
      <c r="C49" s="322"/>
      <c r="E49" s="47">
        <v>0</v>
      </c>
      <c r="F49" s="312" t="s">
        <v>26</v>
      </c>
      <c r="K49" s="313"/>
    </row>
    <row r="50" spans="1:15" ht="12.75" customHeight="1" x14ac:dyDescent="0.2">
      <c r="A50" s="810" t="s">
        <v>411</v>
      </c>
      <c r="B50" s="810"/>
      <c r="E50" s="598">
        <f>Calculations!E1539-Calculations!E1449</f>
        <v>0</v>
      </c>
      <c r="F50" s="323" t="s">
        <v>28</v>
      </c>
      <c r="H50" s="304" t="s">
        <v>412</v>
      </c>
      <c r="I50" s="304"/>
      <c r="K50" s="313"/>
    </row>
    <row r="51" spans="1:15" ht="12.75" customHeight="1" x14ac:dyDescent="0.2">
      <c r="E51" s="157"/>
      <c r="G51" s="324"/>
      <c r="H51" s="157" t="s">
        <v>413</v>
      </c>
      <c r="K51" s="49">
        <v>0</v>
      </c>
      <c r="L51" s="307" t="s">
        <v>24</v>
      </c>
    </row>
    <row r="52" spans="1:15" ht="12.75" customHeight="1" x14ac:dyDescent="0.2">
      <c r="A52" s="219" t="s">
        <v>414</v>
      </c>
      <c r="B52" s="325"/>
      <c r="C52" s="307"/>
      <c r="E52" s="157"/>
      <c r="G52" s="324"/>
      <c r="H52" s="157" t="s">
        <v>415</v>
      </c>
      <c r="K52" s="49">
        <v>628</v>
      </c>
      <c r="L52" s="307" t="s">
        <v>26</v>
      </c>
      <c r="M52" s="326"/>
      <c r="N52" s="157"/>
      <c r="O52" s="157"/>
    </row>
    <row r="53" spans="1:15" ht="12.75" customHeight="1" x14ac:dyDescent="0.2">
      <c r="A53" s="154" t="s">
        <v>416</v>
      </c>
      <c r="C53" s="286"/>
      <c r="D53" s="327"/>
      <c r="E53" s="49">
        <v>0</v>
      </c>
      <c r="F53" s="328" t="s">
        <v>24</v>
      </c>
      <c r="G53" s="324"/>
      <c r="H53" s="157" t="s">
        <v>417</v>
      </c>
      <c r="K53" s="49">
        <v>10201</v>
      </c>
      <c r="L53" s="286" t="s">
        <v>28</v>
      </c>
    </row>
    <row r="54" spans="1:15" ht="12.75" customHeight="1" x14ac:dyDescent="0.2">
      <c r="A54" s="154" t="s">
        <v>418</v>
      </c>
      <c r="C54" s="286"/>
      <c r="D54" s="327"/>
      <c r="E54" s="49">
        <v>0</v>
      </c>
      <c r="F54" s="328" t="s">
        <v>26</v>
      </c>
      <c r="G54" s="324"/>
      <c r="H54" s="157" t="s">
        <v>419</v>
      </c>
      <c r="K54" s="49">
        <v>19785</v>
      </c>
      <c r="L54" s="286" t="s">
        <v>31</v>
      </c>
    </row>
    <row r="55" spans="1:15" ht="12.75" customHeight="1" x14ac:dyDescent="0.2">
      <c r="A55" s="154" t="s">
        <v>420</v>
      </c>
      <c r="C55" s="286"/>
      <c r="D55" s="327"/>
      <c r="E55" s="49">
        <v>0</v>
      </c>
      <c r="F55" s="328" t="s">
        <v>28</v>
      </c>
      <c r="G55" s="324"/>
      <c r="H55" s="627" t="s">
        <v>421</v>
      </c>
      <c r="I55" s="627"/>
      <c r="J55" s="627"/>
      <c r="K55" s="49">
        <v>147</v>
      </c>
      <c r="L55" s="286" t="s">
        <v>33</v>
      </c>
    </row>
    <row r="56" spans="1:15" ht="12.75" customHeight="1" x14ac:dyDescent="0.2">
      <c r="A56" s="154" t="s">
        <v>422</v>
      </c>
      <c r="C56" s="286"/>
      <c r="D56" s="327"/>
      <c r="E56" s="49">
        <v>0</v>
      </c>
      <c r="F56" s="328" t="s">
        <v>31</v>
      </c>
      <c r="H56" s="627" t="s">
        <v>423</v>
      </c>
      <c r="I56" s="627"/>
      <c r="J56" s="627"/>
      <c r="K56" s="49">
        <v>248953</v>
      </c>
      <c r="L56" s="286" t="s">
        <v>35</v>
      </c>
    </row>
    <row r="57" spans="1:15" ht="12.75" customHeight="1" x14ac:dyDescent="0.2">
      <c r="C57" s="329"/>
      <c r="D57" s="327"/>
      <c r="F57" s="271"/>
      <c r="G57" s="324"/>
      <c r="K57" s="313"/>
      <c r="L57" s="286"/>
    </row>
    <row r="58" spans="1:15" ht="12.75" customHeight="1" x14ac:dyDescent="0.2">
      <c r="G58" s="324"/>
      <c r="H58" s="304" t="s">
        <v>424</v>
      </c>
      <c r="I58" s="304"/>
      <c r="K58" s="313"/>
    </row>
    <row r="59" spans="1:15" ht="12.75" customHeight="1" x14ac:dyDescent="0.2">
      <c r="G59" s="324"/>
      <c r="H59" s="157" t="s">
        <v>425</v>
      </c>
      <c r="K59" s="596">
        <f>SUMIFS('Accounting data'!$G$2:$G$37000,'Accounting data'!$J$2:$J$37000,"2220*")</f>
        <v>151</v>
      </c>
      <c r="L59" s="286" t="s">
        <v>24</v>
      </c>
      <c r="M59" s="326"/>
      <c r="N59" s="157"/>
      <c r="O59" s="157"/>
    </row>
    <row r="60" spans="1:15" ht="12.75" customHeight="1" x14ac:dyDescent="0.2">
      <c r="G60" s="324"/>
      <c r="H60" s="157" t="s">
        <v>426</v>
      </c>
      <c r="K60" s="596">
        <f>SUMIFS('Accounting data'!$G$2:$G$37000,'Accounting data'!$J$2:$J$37000,"2230*")</f>
        <v>0</v>
      </c>
      <c r="L60" s="286" t="s">
        <v>26</v>
      </c>
    </row>
    <row r="61" spans="1:15" ht="15" customHeight="1" x14ac:dyDescent="0.2">
      <c r="G61" s="324"/>
    </row>
    <row r="68" spans="8:8" ht="12.75" customHeight="1" x14ac:dyDescent="0.2">
      <c r="H68" s="157" t="s">
        <v>20</v>
      </c>
    </row>
  </sheetData>
  <sheetProtection formatCells="0" formatColumns="0" formatRows="0"/>
  <mergeCells count="25">
    <mergeCell ref="H37:J37"/>
    <mergeCell ref="H46:J46"/>
    <mergeCell ref="H47:J47"/>
    <mergeCell ref="A49:B49"/>
    <mergeCell ref="A35:B35"/>
    <mergeCell ref="A36:B36"/>
    <mergeCell ref="A41:B41"/>
    <mergeCell ref="A42:B42"/>
    <mergeCell ref="H36:J36"/>
    <mergeCell ref="H42:J42"/>
    <mergeCell ref="H41:J41"/>
    <mergeCell ref="H38:J38"/>
    <mergeCell ref="H39:J39"/>
    <mergeCell ref="A50:B50"/>
    <mergeCell ref="A33:B33"/>
    <mergeCell ref="A44:B44"/>
    <mergeCell ref="A40:B40"/>
    <mergeCell ref="A43:B43"/>
    <mergeCell ref="A34:B34"/>
    <mergeCell ref="F1:G1"/>
    <mergeCell ref="C4:L4"/>
    <mergeCell ref="D6:K6"/>
    <mergeCell ref="H32:J32"/>
    <mergeCell ref="H30:J30"/>
    <mergeCell ref="H31:J31"/>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13:K19 K21:K22 K24:K26 K30:K32 K36:K38 K41:K42 K46:K47 K51:K56">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zoomScaleNormal="100" workbookViewId="0">
      <selection activeCell="E28" sqref="E28"/>
    </sheetView>
  </sheetViews>
  <sheetFormatPr defaultColWidth="9" defaultRowHeight="12.75" x14ac:dyDescent="0.2"/>
  <cols>
    <col min="1" max="1" width="48.33203125" style="331" customWidth="1"/>
    <col min="2" max="2" width="2.83203125" style="331" customWidth="1"/>
    <col min="3" max="3" width="35.33203125" style="331" customWidth="1"/>
    <col min="4" max="4" width="13.83203125" style="331" bestFit="1" customWidth="1"/>
    <col min="5" max="5" width="15.33203125" style="331" customWidth="1"/>
    <col min="6" max="6" width="14.1640625" style="331" customWidth="1"/>
    <col min="7" max="7" width="15.1640625" style="331" customWidth="1"/>
    <col min="8" max="8" width="13.33203125" style="332" customWidth="1"/>
    <col min="9" max="9" width="17.33203125" style="332" customWidth="1"/>
    <col min="10" max="10" width="15.1640625" style="332" customWidth="1"/>
    <col min="11" max="11" width="20.33203125" style="332" customWidth="1"/>
    <col min="12" max="12" width="16" style="331" customWidth="1"/>
    <col min="13" max="13" width="16.83203125" style="331" customWidth="1"/>
    <col min="14" max="14" width="16" style="331" customWidth="1"/>
    <col min="15" max="15" width="14.83203125" style="331" customWidth="1"/>
    <col min="16" max="16" width="17.33203125" style="331" customWidth="1"/>
    <col min="17" max="17" width="14.83203125" style="331" customWidth="1"/>
    <col min="18" max="21" width="9" style="337" customWidth="1"/>
    <col min="22" max="26" width="9" style="338" customWidth="1"/>
    <col min="27" max="27" width="8.1640625" style="338" bestFit="1" customWidth="1"/>
    <col min="28" max="29" width="9" style="338" customWidth="1"/>
    <col min="30" max="34" width="10.33203125" style="339" customWidth="1"/>
    <col min="35" max="35" width="9" style="339" customWidth="1"/>
    <col min="36" max="48" width="9" style="337" customWidth="1"/>
    <col min="49" max="256" width="9" style="331" customWidth="1"/>
    <col min="257" max="257" width="60.33203125" style="331" customWidth="1"/>
    <col min="258" max="258" width="2.83203125" style="331" customWidth="1"/>
    <col min="259" max="259" width="14.83203125" style="331" customWidth="1"/>
    <col min="260" max="260" width="13.83203125" style="331" bestFit="1" customWidth="1"/>
    <col min="261" max="261" width="15.33203125" style="331" customWidth="1"/>
    <col min="262" max="262" width="14.1640625" style="331" customWidth="1"/>
    <col min="263" max="263" width="15.1640625" style="331" customWidth="1"/>
    <col min="264" max="264" width="13.33203125" style="331" customWidth="1"/>
    <col min="265" max="265" width="17.33203125" style="331" customWidth="1"/>
    <col min="266" max="266" width="15.1640625" style="331" customWidth="1"/>
    <col min="267" max="267" width="19.6640625" style="331" customWidth="1"/>
    <col min="268" max="270" width="16" style="331" customWidth="1"/>
    <col min="271" max="271" width="14.83203125" style="331" customWidth="1"/>
    <col min="272" max="272" width="17.33203125" style="331" customWidth="1"/>
    <col min="273" max="273" width="14.83203125" style="331" customWidth="1"/>
    <col min="274" max="282" width="9" style="331" customWidth="1"/>
    <col min="283" max="283" width="7.1640625" style="331" bestFit="1" customWidth="1"/>
    <col min="284" max="285" width="9" style="331" customWidth="1"/>
    <col min="286" max="290" width="10.33203125" style="331" customWidth="1"/>
    <col min="291" max="512" width="9" style="331" customWidth="1"/>
    <col min="513" max="513" width="60.33203125" style="331" customWidth="1"/>
    <col min="514" max="514" width="2.83203125" style="331" customWidth="1"/>
    <col min="515" max="515" width="14.83203125" style="331" customWidth="1"/>
    <col min="516" max="516" width="13.83203125" style="331" bestFit="1" customWidth="1"/>
    <col min="517" max="517" width="15.33203125" style="331" customWidth="1"/>
    <col min="518" max="518" width="14.1640625" style="331" customWidth="1"/>
    <col min="519" max="519" width="15.1640625" style="331" customWidth="1"/>
    <col min="520" max="520" width="13.33203125" style="331" customWidth="1"/>
    <col min="521" max="521" width="17.33203125" style="331" customWidth="1"/>
    <col min="522" max="522" width="15.1640625" style="331" customWidth="1"/>
    <col min="523" max="523" width="19.6640625" style="331" customWidth="1"/>
    <col min="524" max="526" width="16" style="331" customWidth="1"/>
    <col min="527" max="527" width="14.83203125" style="331" customWidth="1"/>
    <col min="528" max="528" width="17.33203125" style="331" customWidth="1"/>
    <col min="529" max="529" width="14.83203125" style="331" customWidth="1"/>
    <col min="530" max="538" width="9" style="331" customWidth="1"/>
    <col min="539" max="539" width="7.1640625" style="331" bestFit="1" customWidth="1"/>
    <col min="540" max="541" width="9" style="331" customWidth="1"/>
    <col min="542" max="546" width="10.33203125" style="331" customWidth="1"/>
    <col min="547" max="768" width="9" style="331" customWidth="1"/>
    <col min="769" max="769" width="60.33203125" style="331" customWidth="1"/>
    <col min="770" max="770" width="2.83203125" style="331" customWidth="1"/>
    <col min="771" max="771" width="14.83203125" style="331" customWidth="1"/>
    <col min="772" max="772" width="13.83203125" style="331" bestFit="1" customWidth="1"/>
    <col min="773" max="773" width="15.33203125" style="331" customWidth="1"/>
    <col min="774" max="774" width="14.1640625" style="331" customWidth="1"/>
    <col min="775" max="775" width="15.1640625" style="331" customWidth="1"/>
    <col min="776" max="776" width="13.33203125" style="331" customWidth="1"/>
    <col min="777" max="777" width="17.33203125" style="331" customWidth="1"/>
    <col min="778" max="778" width="15.1640625" style="331" customWidth="1"/>
    <col min="779" max="779" width="19.6640625" style="331" customWidth="1"/>
    <col min="780" max="782" width="16" style="331" customWidth="1"/>
    <col min="783" max="783" width="14.83203125" style="331" customWidth="1"/>
    <col min="784" max="784" width="17.33203125" style="331" customWidth="1"/>
    <col min="785" max="785" width="14.83203125" style="331" customWidth="1"/>
    <col min="786" max="794" width="9" style="331" customWidth="1"/>
    <col min="795" max="795" width="7.1640625" style="331" bestFit="1" customWidth="1"/>
    <col min="796" max="797" width="9" style="331" customWidth="1"/>
    <col min="798" max="802" width="10.33203125" style="331" customWidth="1"/>
    <col min="803" max="1024" width="9" style="331" customWidth="1"/>
    <col min="1025" max="1025" width="60.33203125" style="331" customWidth="1"/>
    <col min="1026" max="1026" width="2.83203125" style="331" customWidth="1"/>
    <col min="1027" max="1027" width="14.83203125" style="331" customWidth="1"/>
    <col min="1028" max="1028" width="13.83203125" style="331" bestFit="1" customWidth="1"/>
    <col min="1029" max="1029" width="15.33203125" style="331" customWidth="1"/>
    <col min="1030" max="1030" width="14.1640625" style="331" customWidth="1"/>
    <col min="1031" max="1031" width="15.1640625" style="331" customWidth="1"/>
    <col min="1032" max="1032" width="13.33203125" style="331" customWidth="1"/>
    <col min="1033" max="1033" width="17.33203125" style="331" customWidth="1"/>
    <col min="1034" max="1034" width="15.1640625" style="331" customWidth="1"/>
    <col min="1035" max="1035" width="19.6640625" style="331" customWidth="1"/>
    <col min="1036" max="1038" width="16" style="331" customWidth="1"/>
    <col min="1039" max="1039" width="14.83203125" style="331" customWidth="1"/>
    <col min="1040" max="1040" width="17.33203125" style="331" customWidth="1"/>
    <col min="1041" max="1041" width="14.83203125" style="331" customWidth="1"/>
    <col min="1042" max="1050" width="9" style="331" customWidth="1"/>
    <col min="1051" max="1051" width="7.1640625" style="331" bestFit="1" customWidth="1"/>
    <col min="1052" max="1053" width="9" style="331" customWidth="1"/>
    <col min="1054" max="1058" width="10.33203125" style="331" customWidth="1"/>
    <col min="1059" max="1280" width="9" style="331" customWidth="1"/>
    <col min="1281" max="1281" width="60.33203125" style="331" customWidth="1"/>
    <col min="1282" max="1282" width="2.83203125" style="331" customWidth="1"/>
    <col min="1283" max="1283" width="14.83203125" style="331" customWidth="1"/>
    <col min="1284" max="1284" width="13.83203125" style="331" bestFit="1" customWidth="1"/>
    <col min="1285" max="1285" width="15.33203125" style="331" customWidth="1"/>
    <col min="1286" max="1286" width="14.1640625" style="331" customWidth="1"/>
    <col min="1287" max="1287" width="15.1640625" style="331" customWidth="1"/>
    <col min="1288" max="1288" width="13.33203125" style="331" customWidth="1"/>
    <col min="1289" max="1289" width="17.33203125" style="331" customWidth="1"/>
    <col min="1290" max="1290" width="15.1640625" style="331" customWidth="1"/>
    <col min="1291" max="1291" width="19.6640625" style="331" customWidth="1"/>
    <col min="1292" max="1294" width="16" style="331" customWidth="1"/>
    <col min="1295" max="1295" width="14.83203125" style="331" customWidth="1"/>
    <col min="1296" max="1296" width="17.33203125" style="331" customWidth="1"/>
    <col min="1297" max="1297" width="14.83203125" style="331" customWidth="1"/>
    <col min="1298" max="1306" width="9" style="331" customWidth="1"/>
    <col min="1307" max="1307" width="7.1640625" style="331" bestFit="1" customWidth="1"/>
    <col min="1308" max="1309" width="9" style="331" customWidth="1"/>
    <col min="1310" max="1314" width="10.33203125" style="331" customWidth="1"/>
    <col min="1315" max="1536" width="9" style="331" customWidth="1"/>
    <col min="1537" max="1537" width="60.33203125" style="331" customWidth="1"/>
    <col min="1538" max="1538" width="2.83203125" style="331" customWidth="1"/>
    <col min="1539" max="1539" width="14.83203125" style="331" customWidth="1"/>
    <col min="1540" max="1540" width="13.83203125" style="331" bestFit="1" customWidth="1"/>
    <col min="1541" max="1541" width="15.33203125" style="331" customWidth="1"/>
    <col min="1542" max="1542" width="14.1640625" style="331" customWidth="1"/>
    <col min="1543" max="1543" width="15.1640625" style="331" customWidth="1"/>
    <col min="1544" max="1544" width="13.33203125" style="331" customWidth="1"/>
    <col min="1545" max="1545" width="17.33203125" style="331" customWidth="1"/>
    <col min="1546" max="1546" width="15.1640625" style="331" customWidth="1"/>
    <col min="1547" max="1547" width="19.6640625" style="331" customWidth="1"/>
    <col min="1548" max="1550" width="16" style="331" customWidth="1"/>
    <col min="1551" max="1551" width="14.83203125" style="331" customWidth="1"/>
    <col min="1552" max="1552" width="17.33203125" style="331" customWidth="1"/>
    <col min="1553" max="1553" width="14.83203125" style="331" customWidth="1"/>
    <col min="1554" max="1562" width="9" style="331" customWidth="1"/>
    <col min="1563" max="1563" width="7.1640625" style="331" bestFit="1" customWidth="1"/>
    <col min="1564" max="1565" width="9" style="331" customWidth="1"/>
    <col min="1566" max="1570" width="10.33203125" style="331" customWidth="1"/>
    <col min="1571" max="1792" width="9" style="331" customWidth="1"/>
    <col min="1793" max="1793" width="60.33203125" style="331" customWidth="1"/>
    <col min="1794" max="1794" width="2.83203125" style="331" customWidth="1"/>
    <col min="1795" max="1795" width="14.83203125" style="331" customWidth="1"/>
    <col min="1796" max="1796" width="13.83203125" style="331" bestFit="1" customWidth="1"/>
    <col min="1797" max="1797" width="15.33203125" style="331" customWidth="1"/>
    <col min="1798" max="1798" width="14.1640625" style="331" customWidth="1"/>
    <col min="1799" max="1799" width="15.1640625" style="331" customWidth="1"/>
    <col min="1800" max="1800" width="13.33203125" style="331" customWidth="1"/>
    <col min="1801" max="1801" width="17.33203125" style="331" customWidth="1"/>
    <col min="1802" max="1802" width="15.1640625" style="331" customWidth="1"/>
    <col min="1803" max="1803" width="19.6640625" style="331" customWidth="1"/>
    <col min="1804" max="1806" width="16" style="331" customWidth="1"/>
    <col min="1807" max="1807" width="14.83203125" style="331" customWidth="1"/>
    <col min="1808" max="1808" width="17.33203125" style="331" customWidth="1"/>
    <col min="1809" max="1809" width="14.83203125" style="331" customWidth="1"/>
    <col min="1810" max="1818" width="9" style="331" customWidth="1"/>
    <col min="1819" max="1819" width="7.1640625" style="331" bestFit="1" customWidth="1"/>
    <col min="1820" max="1821" width="9" style="331" customWidth="1"/>
    <col min="1822" max="1826" width="10.33203125" style="331" customWidth="1"/>
    <col min="1827" max="2048" width="9" style="331" customWidth="1"/>
    <col min="2049" max="2049" width="60.33203125" style="331" customWidth="1"/>
    <col min="2050" max="2050" width="2.83203125" style="331" customWidth="1"/>
    <col min="2051" max="2051" width="14.83203125" style="331" customWidth="1"/>
    <col min="2052" max="2052" width="13.83203125" style="331" bestFit="1" customWidth="1"/>
    <col min="2053" max="2053" width="15.33203125" style="331" customWidth="1"/>
    <col min="2054" max="2054" width="14.1640625" style="331" customWidth="1"/>
    <col min="2055" max="2055" width="15.1640625" style="331" customWidth="1"/>
    <col min="2056" max="2056" width="13.33203125" style="331" customWidth="1"/>
    <col min="2057" max="2057" width="17.33203125" style="331" customWidth="1"/>
    <col min="2058" max="2058" width="15.1640625" style="331" customWidth="1"/>
    <col min="2059" max="2059" width="19.6640625" style="331" customWidth="1"/>
    <col min="2060" max="2062" width="16" style="331" customWidth="1"/>
    <col min="2063" max="2063" width="14.83203125" style="331" customWidth="1"/>
    <col min="2064" max="2064" width="17.33203125" style="331" customWidth="1"/>
    <col min="2065" max="2065" width="14.83203125" style="331" customWidth="1"/>
    <col min="2066" max="2074" width="9" style="331" customWidth="1"/>
    <col min="2075" max="2075" width="7.1640625" style="331" bestFit="1" customWidth="1"/>
    <col min="2076" max="2077" width="9" style="331" customWidth="1"/>
    <col min="2078" max="2082" width="10.33203125" style="331" customWidth="1"/>
    <col min="2083" max="2304" width="9" style="331" customWidth="1"/>
    <col min="2305" max="2305" width="60.33203125" style="331" customWidth="1"/>
    <col min="2306" max="2306" width="2.83203125" style="331" customWidth="1"/>
    <col min="2307" max="2307" width="14.83203125" style="331" customWidth="1"/>
    <col min="2308" max="2308" width="13.83203125" style="331" bestFit="1" customWidth="1"/>
    <col min="2309" max="2309" width="15.33203125" style="331" customWidth="1"/>
    <col min="2310" max="2310" width="14.1640625" style="331" customWidth="1"/>
    <col min="2311" max="2311" width="15.1640625" style="331" customWidth="1"/>
    <col min="2312" max="2312" width="13.33203125" style="331" customWidth="1"/>
    <col min="2313" max="2313" width="17.33203125" style="331" customWidth="1"/>
    <col min="2314" max="2314" width="15.1640625" style="331" customWidth="1"/>
    <col min="2315" max="2315" width="19.6640625" style="331" customWidth="1"/>
    <col min="2316" max="2318" width="16" style="331" customWidth="1"/>
    <col min="2319" max="2319" width="14.83203125" style="331" customWidth="1"/>
    <col min="2320" max="2320" width="17.33203125" style="331" customWidth="1"/>
    <col min="2321" max="2321" width="14.83203125" style="331" customWidth="1"/>
    <col min="2322" max="2330" width="9" style="331" customWidth="1"/>
    <col min="2331" max="2331" width="7.1640625" style="331" bestFit="1" customWidth="1"/>
    <col min="2332" max="2333" width="9" style="331" customWidth="1"/>
    <col min="2334" max="2338" width="10.33203125" style="331" customWidth="1"/>
    <col min="2339" max="2560" width="9" style="331" customWidth="1"/>
    <col min="2561" max="2561" width="60.33203125" style="331" customWidth="1"/>
    <col min="2562" max="2562" width="2.83203125" style="331" customWidth="1"/>
    <col min="2563" max="2563" width="14.83203125" style="331" customWidth="1"/>
    <col min="2564" max="2564" width="13.83203125" style="331" bestFit="1" customWidth="1"/>
    <col min="2565" max="2565" width="15.33203125" style="331" customWidth="1"/>
    <col min="2566" max="2566" width="14.1640625" style="331" customWidth="1"/>
    <col min="2567" max="2567" width="15.1640625" style="331" customWidth="1"/>
    <col min="2568" max="2568" width="13.33203125" style="331" customWidth="1"/>
    <col min="2569" max="2569" width="17.33203125" style="331" customWidth="1"/>
    <col min="2570" max="2570" width="15.1640625" style="331" customWidth="1"/>
    <col min="2571" max="2571" width="19.6640625" style="331" customWidth="1"/>
    <col min="2572" max="2574" width="16" style="331" customWidth="1"/>
    <col min="2575" max="2575" width="14.83203125" style="331" customWidth="1"/>
    <col min="2576" max="2576" width="17.33203125" style="331" customWidth="1"/>
    <col min="2577" max="2577" width="14.83203125" style="331" customWidth="1"/>
    <col min="2578" max="2586" width="9" style="331" customWidth="1"/>
    <col min="2587" max="2587" width="7.1640625" style="331" bestFit="1" customWidth="1"/>
    <col min="2588" max="2589" width="9" style="331" customWidth="1"/>
    <col min="2590" max="2594" width="10.33203125" style="331" customWidth="1"/>
    <col min="2595" max="2816" width="9" style="331" customWidth="1"/>
    <col min="2817" max="2817" width="60.33203125" style="331" customWidth="1"/>
    <col min="2818" max="2818" width="2.83203125" style="331" customWidth="1"/>
    <col min="2819" max="2819" width="14.83203125" style="331" customWidth="1"/>
    <col min="2820" max="2820" width="13.83203125" style="331" bestFit="1" customWidth="1"/>
    <col min="2821" max="2821" width="15.33203125" style="331" customWidth="1"/>
    <col min="2822" max="2822" width="14.1640625" style="331" customWidth="1"/>
    <col min="2823" max="2823" width="15.1640625" style="331" customWidth="1"/>
    <col min="2824" max="2824" width="13.33203125" style="331" customWidth="1"/>
    <col min="2825" max="2825" width="17.33203125" style="331" customWidth="1"/>
    <col min="2826" max="2826" width="15.1640625" style="331" customWidth="1"/>
    <col min="2827" max="2827" width="19.6640625" style="331" customWidth="1"/>
    <col min="2828" max="2830" width="16" style="331" customWidth="1"/>
    <col min="2831" max="2831" width="14.83203125" style="331" customWidth="1"/>
    <col min="2832" max="2832" width="17.33203125" style="331" customWidth="1"/>
    <col min="2833" max="2833" width="14.83203125" style="331" customWidth="1"/>
    <col min="2834" max="2842" width="9" style="331" customWidth="1"/>
    <col min="2843" max="2843" width="7.1640625" style="331" bestFit="1" customWidth="1"/>
    <col min="2844" max="2845" width="9" style="331" customWidth="1"/>
    <col min="2846" max="2850" width="10.33203125" style="331" customWidth="1"/>
    <col min="2851" max="3072" width="9" style="331" customWidth="1"/>
    <col min="3073" max="3073" width="60.33203125" style="331" customWidth="1"/>
    <col min="3074" max="3074" width="2.83203125" style="331" customWidth="1"/>
    <col min="3075" max="3075" width="14.83203125" style="331" customWidth="1"/>
    <col min="3076" max="3076" width="13.83203125" style="331" bestFit="1" customWidth="1"/>
    <col min="3077" max="3077" width="15.33203125" style="331" customWidth="1"/>
    <col min="3078" max="3078" width="14.1640625" style="331" customWidth="1"/>
    <col min="3079" max="3079" width="15.1640625" style="331" customWidth="1"/>
    <col min="3080" max="3080" width="13.33203125" style="331" customWidth="1"/>
    <col min="3081" max="3081" width="17.33203125" style="331" customWidth="1"/>
    <col min="3082" max="3082" width="15.1640625" style="331" customWidth="1"/>
    <col min="3083" max="3083" width="19.6640625" style="331" customWidth="1"/>
    <col min="3084" max="3086" width="16" style="331" customWidth="1"/>
    <col min="3087" max="3087" width="14.83203125" style="331" customWidth="1"/>
    <col min="3088" max="3088" width="17.33203125" style="331" customWidth="1"/>
    <col min="3089" max="3089" width="14.83203125" style="331" customWidth="1"/>
    <col min="3090" max="3098" width="9" style="331" customWidth="1"/>
    <col min="3099" max="3099" width="7.1640625" style="331" bestFit="1" customWidth="1"/>
    <col min="3100" max="3101" width="9" style="331" customWidth="1"/>
    <col min="3102" max="3106" width="10.33203125" style="331" customWidth="1"/>
    <col min="3107" max="3328" width="9" style="331" customWidth="1"/>
    <col min="3329" max="3329" width="60.33203125" style="331" customWidth="1"/>
    <col min="3330" max="3330" width="2.83203125" style="331" customWidth="1"/>
    <col min="3331" max="3331" width="14.83203125" style="331" customWidth="1"/>
    <col min="3332" max="3332" width="13.83203125" style="331" bestFit="1" customWidth="1"/>
    <col min="3333" max="3333" width="15.33203125" style="331" customWidth="1"/>
    <col min="3334" max="3334" width="14.1640625" style="331" customWidth="1"/>
    <col min="3335" max="3335" width="15.1640625" style="331" customWidth="1"/>
    <col min="3336" max="3336" width="13.33203125" style="331" customWidth="1"/>
    <col min="3337" max="3337" width="17.33203125" style="331" customWidth="1"/>
    <col min="3338" max="3338" width="15.1640625" style="331" customWidth="1"/>
    <col min="3339" max="3339" width="19.6640625" style="331" customWidth="1"/>
    <col min="3340" max="3342" width="16" style="331" customWidth="1"/>
    <col min="3343" max="3343" width="14.83203125" style="331" customWidth="1"/>
    <col min="3344" max="3344" width="17.33203125" style="331" customWidth="1"/>
    <col min="3345" max="3345" width="14.83203125" style="331" customWidth="1"/>
    <col min="3346" max="3354" width="9" style="331" customWidth="1"/>
    <col min="3355" max="3355" width="7.1640625" style="331" bestFit="1" customWidth="1"/>
    <col min="3356" max="3357" width="9" style="331" customWidth="1"/>
    <col min="3358" max="3362" width="10.33203125" style="331" customWidth="1"/>
    <col min="3363" max="3584" width="9" style="331" customWidth="1"/>
    <col min="3585" max="3585" width="60.33203125" style="331" customWidth="1"/>
    <col min="3586" max="3586" width="2.83203125" style="331" customWidth="1"/>
    <col min="3587" max="3587" width="14.83203125" style="331" customWidth="1"/>
    <col min="3588" max="3588" width="13.83203125" style="331" bestFit="1" customWidth="1"/>
    <col min="3589" max="3589" width="15.33203125" style="331" customWidth="1"/>
    <col min="3590" max="3590" width="14.1640625" style="331" customWidth="1"/>
    <col min="3591" max="3591" width="15.1640625" style="331" customWidth="1"/>
    <col min="3592" max="3592" width="13.33203125" style="331" customWidth="1"/>
    <col min="3593" max="3593" width="17.33203125" style="331" customWidth="1"/>
    <col min="3594" max="3594" width="15.1640625" style="331" customWidth="1"/>
    <col min="3595" max="3595" width="19.6640625" style="331" customWidth="1"/>
    <col min="3596" max="3598" width="16" style="331" customWidth="1"/>
    <col min="3599" max="3599" width="14.83203125" style="331" customWidth="1"/>
    <col min="3600" max="3600" width="17.33203125" style="331" customWidth="1"/>
    <col min="3601" max="3601" width="14.83203125" style="331" customWidth="1"/>
    <col min="3602" max="3610" width="9" style="331" customWidth="1"/>
    <col min="3611" max="3611" width="7.1640625" style="331" bestFit="1" customWidth="1"/>
    <col min="3612" max="3613" width="9" style="331" customWidth="1"/>
    <col min="3614" max="3618" width="10.33203125" style="331" customWidth="1"/>
    <col min="3619" max="3840" width="9" style="331" customWidth="1"/>
    <col min="3841" max="3841" width="60.33203125" style="331" customWidth="1"/>
    <col min="3842" max="3842" width="2.83203125" style="331" customWidth="1"/>
    <col min="3843" max="3843" width="14.83203125" style="331" customWidth="1"/>
    <col min="3844" max="3844" width="13.83203125" style="331" bestFit="1" customWidth="1"/>
    <col min="3845" max="3845" width="15.33203125" style="331" customWidth="1"/>
    <col min="3846" max="3846" width="14.1640625" style="331" customWidth="1"/>
    <col min="3847" max="3847" width="15.1640625" style="331" customWidth="1"/>
    <col min="3848" max="3848" width="13.33203125" style="331" customWidth="1"/>
    <col min="3849" max="3849" width="17.33203125" style="331" customWidth="1"/>
    <col min="3850" max="3850" width="15.1640625" style="331" customWidth="1"/>
    <col min="3851" max="3851" width="19.6640625" style="331" customWidth="1"/>
    <col min="3852" max="3854" width="16" style="331" customWidth="1"/>
    <col min="3855" max="3855" width="14.83203125" style="331" customWidth="1"/>
    <col min="3856" max="3856" width="17.33203125" style="331" customWidth="1"/>
    <col min="3857" max="3857" width="14.83203125" style="331" customWidth="1"/>
    <col min="3858" max="3866" width="9" style="331" customWidth="1"/>
    <col min="3867" max="3867" width="7.1640625" style="331" bestFit="1" customWidth="1"/>
    <col min="3868" max="3869" width="9" style="331" customWidth="1"/>
    <col min="3870" max="3874" width="10.33203125" style="331" customWidth="1"/>
    <col min="3875" max="4096" width="9" style="331" customWidth="1"/>
    <col min="4097" max="4097" width="60.33203125" style="331" customWidth="1"/>
    <col min="4098" max="4098" width="2.83203125" style="331" customWidth="1"/>
    <col min="4099" max="4099" width="14.83203125" style="331" customWidth="1"/>
    <col min="4100" max="4100" width="13.83203125" style="331" bestFit="1" customWidth="1"/>
    <col min="4101" max="4101" width="15.33203125" style="331" customWidth="1"/>
    <col min="4102" max="4102" width="14.1640625" style="331" customWidth="1"/>
    <col min="4103" max="4103" width="15.1640625" style="331" customWidth="1"/>
    <col min="4104" max="4104" width="13.33203125" style="331" customWidth="1"/>
    <col min="4105" max="4105" width="17.33203125" style="331" customWidth="1"/>
    <col min="4106" max="4106" width="15.1640625" style="331" customWidth="1"/>
    <col min="4107" max="4107" width="19.6640625" style="331" customWidth="1"/>
    <col min="4108" max="4110" width="16" style="331" customWidth="1"/>
    <col min="4111" max="4111" width="14.83203125" style="331" customWidth="1"/>
    <col min="4112" max="4112" width="17.33203125" style="331" customWidth="1"/>
    <col min="4113" max="4113" width="14.83203125" style="331" customWidth="1"/>
    <col min="4114" max="4122" width="9" style="331" customWidth="1"/>
    <col min="4123" max="4123" width="7.1640625" style="331" bestFit="1" customWidth="1"/>
    <col min="4124" max="4125" width="9" style="331" customWidth="1"/>
    <col min="4126" max="4130" width="10.33203125" style="331" customWidth="1"/>
    <col min="4131" max="4352" width="9" style="331" customWidth="1"/>
    <col min="4353" max="4353" width="60.33203125" style="331" customWidth="1"/>
    <col min="4354" max="4354" width="2.83203125" style="331" customWidth="1"/>
    <col min="4355" max="4355" width="14.83203125" style="331" customWidth="1"/>
    <col min="4356" max="4356" width="13.83203125" style="331" bestFit="1" customWidth="1"/>
    <col min="4357" max="4357" width="15.33203125" style="331" customWidth="1"/>
    <col min="4358" max="4358" width="14.1640625" style="331" customWidth="1"/>
    <col min="4359" max="4359" width="15.1640625" style="331" customWidth="1"/>
    <col min="4360" max="4360" width="13.33203125" style="331" customWidth="1"/>
    <col min="4361" max="4361" width="17.33203125" style="331" customWidth="1"/>
    <col min="4362" max="4362" width="15.1640625" style="331" customWidth="1"/>
    <col min="4363" max="4363" width="19.6640625" style="331" customWidth="1"/>
    <col min="4364" max="4366" width="16" style="331" customWidth="1"/>
    <col min="4367" max="4367" width="14.83203125" style="331" customWidth="1"/>
    <col min="4368" max="4368" width="17.33203125" style="331" customWidth="1"/>
    <col min="4369" max="4369" width="14.83203125" style="331" customWidth="1"/>
    <col min="4370" max="4378" width="9" style="331" customWidth="1"/>
    <col min="4379" max="4379" width="7.1640625" style="331" bestFit="1" customWidth="1"/>
    <col min="4380" max="4381" width="9" style="331" customWidth="1"/>
    <col min="4382" max="4386" width="10.33203125" style="331" customWidth="1"/>
    <col min="4387" max="4608" width="9" style="331" customWidth="1"/>
    <col min="4609" max="4609" width="60.33203125" style="331" customWidth="1"/>
    <col min="4610" max="4610" width="2.83203125" style="331" customWidth="1"/>
    <col min="4611" max="4611" width="14.83203125" style="331" customWidth="1"/>
    <col min="4612" max="4612" width="13.83203125" style="331" bestFit="1" customWidth="1"/>
    <col min="4613" max="4613" width="15.33203125" style="331" customWidth="1"/>
    <col min="4614" max="4614" width="14.1640625" style="331" customWidth="1"/>
    <col min="4615" max="4615" width="15.1640625" style="331" customWidth="1"/>
    <col min="4616" max="4616" width="13.33203125" style="331" customWidth="1"/>
    <col min="4617" max="4617" width="17.33203125" style="331" customWidth="1"/>
    <col min="4618" max="4618" width="15.1640625" style="331" customWidth="1"/>
    <col min="4619" max="4619" width="19.6640625" style="331" customWidth="1"/>
    <col min="4620" max="4622" width="16" style="331" customWidth="1"/>
    <col min="4623" max="4623" width="14.83203125" style="331" customWidth="1"/>
    <col min="4624" max="4624" width="17.33203125" style="331" customWidth="1"/>
    <col min="4625" max="4625" width="14.83203125" style="331" customWidth="1"/>
    <col min="4626" max="4634" width="9" style="331" customWidth="1"/>
    <col min="4635" max="4635" width="7.1640625" style="331" bestFit="1" customWidth="1"/>
    <col min="4636" max="4637" width="9" style="331" customWidth="1"/>
    <col min="4638" max="4642" width="10.33203125" style="331" customWidth="1"/>
    <col min="4643" max="4864" width="9" style="331" customWidth="1"/>
    <col min="4865" max="4865" width="60.33203125" style="331" customWidth="1"/>
    <col min="4866" max="4866" width="2.83203125" style="331" customWidth="1"/>
    <col min="4867" max="4867" width="14.83203125" style="331" customWidth="1"/>
    <col min="4868" max="4868" width="13.83203125" style="331" bestFit="1" customWidth="1"/>
    <col min="4869" max="4869" width="15.33203125" style="331" customWidth="1"/>
    <col min="4870" max="4870" width="14.1640625" style="331" customWidth="1"/>
    <col min="4871" max="4871" width="15.1640625" style="331" customWidth="1"/>
    <col min="4872" max="4872" width="13.33203125" style="331" customWidth="1"/>
    <col min="4873" max="4873" width="17.33203125" style="331" customWidth="1"/>
    <col min="4874" max="4874" width="15.1640625" style="331" customWidth="1"/>
    <col min="4875" max="4875" width="19.6640625" style="331" customWidth="1"/>
    <col min="4876" max="4878" width="16" style="331" customWidth="1"/>
    <col min="4879" max="4879" width="14.83203125" style="331" customWidth="1"/>
    <col min="4880" max="4880" width="17.33203125" style="331" customWidth="1"/>
    <col min="4881" max="4881" width="14.83203125" style="331" customWidth="1"/>
    <col min="4882" max="4890" width="9" style="331" customWidth="1"/>
    <col min="4891" max="4891" width="7.1640625" style="331" bestFit="1" customWidth="1"/>
    <col min="4892" max="4893" width="9" style="331" customWidth="1"/>
    <col min="4894" max="4898" width="10.33203125" style="331" customWidth="1"/>
    <col min="4899" max="5120" width="9" style="331" customWidth="1"/>
    <col min="5121" max="5121" width="60.33203125" style="331" customWidth="1"/>
    <col min="5122" max="5122" width="2.83203125" style="331" customWidth="1"/>
    <col min="5123" max="5123" width="14.83203125" style="331" customWidth="1"/>
    <col min="5124" max="5124" width="13.83203125" style="331" bestFit="1" customWidth="1"/>
    <col min="5125" max="5125" width="15.33203125" style="331" customWidth="1"/>
    <col min="5126" max="5126" width="14.1640625" style="331" customWidth="1"/>
    <col min="5127" max="5127" width="15.1640625" style="331" customWidth="1"/>
    <col min="5128" max="5128" width="13.33203125" style="331" customWidth="1"/>
    <col min="5129" max="5129" width="17.33203125" style="331" customWidth="1"/>
    <col min="5130" max="5130" width="15.1640625" style="331" customWidth="1"/>
    <col min="5131" max="5131" width="19.6640625" style="331" customWidth="1"/>
    <col min="5132" max="5134" width="16" style="331" customWidth="1"/>
    <col min="5135" max="5135" width="14.83203125" style="331" customWidth="1"/>
    <col min="5136" max="5136" width="17.33203125" style="331" customWidth="1"/>
    <col min="5137" max="5137" width="14.83203125" style="331" customWidth="1"/>
    <col min="5138" max="5146" width="9" style="331" customWidth="1"/>
    <col min="5147" max="5147" width="7.1640625" style="331" bestFit="1" customWidth="1"/>
    <col min="5148" max="5149" width="9" style="331" customWidth="1"/>
    <col min="5150" max="5154" width="10.33203125" style="331" customWidth="1"/>
    <col min="5155" max="5376" width="9" style="331" customWidth="1"/>
    <col min="5377" max="5377" width="60.33203125" style="331" customWidth="1"/>
    <col min="5378" max="5378" width="2.83203125" style="331" customWidth="1"/>
    <col min="5379" max="5379" width="14.83203125" style="331" customWidth="1"/>
    <col min="5380" max="5380" width="13.83203125" style="331" bestFit="1" customWidth="1"/>
    <col min="5381" max="5381" width="15.33203125" style="331" customWidth="1"/>
    <col min="5382" max="5382" width="14.1640625" style="331" customWidth="1"/>
    <col min="5383" max="5383" width="15.1640625" style="331" customWidth="1"/>
    <col min="5384" max="5384" width="13.33203125" style="331" customWidth="1"/>
    <col min="5385" max="5385" width="17.33203125" style="331" customWidth="1"/>
    <col min="5386" max="5386" width="15.1640625" style="331" customWidth="1"/>
    <col min="5387" max="5387" width="19.6640625" style="331" customWidth="1"/>
    <col min="5388" max="5390" width="16" style="331" customWidth="1"/>
    <col min="5391" max="5391" width="14.83203125" style="331" customWidth="1"/>
    <col min="5392" max="5392" width="17.33203125" style="331" customWidth="1"/>
    <col min="5393" max="5393" width="14.83203125" style="331" customWidth="1"/>
    <col min="5394" max="5402" width="9" style="331" customWidth="1"/>
    <col min="5403" max="5403" width="7.1640625" style="331" bestFit="1" customWidth="1"/>
    <col min="5404" max="5405" width="9" style="331" customWidth="1"/>
    <col min="5406" max="5410" width="10.33203125" style="331" customWidth="1"/>
    <col min="5411" max="5632" width="9" style="331" customWidth="1"/>
    <col min="5633" max="5633" width="60.33203125" style="331" customWidth="1"/>
    <col min="5634" max="5634" width="2.83203125" style="331" customWidth="1"/>
    <col min="5635" max="5635" width="14.83203125" style="331" customWidth="1"/>
    <col min="5636" max="5636" width="13.83203125" style="331" bestFit="1" customWidth="1"/>
    <col min="5637" max="5637" width="15.33203125" style="331" customWidth="1"/>
    <col min="5638" max="5638" width="14.1640625" style="331" customWidth="1"/>
    <col min="5639" max="5639" width="15.1640625" style="331" customWidth="1"/>
    <col min="5640" max="5640" width="13.33203125" style="331" customWidth="1"/>
    <col min="5641" max="5641" width="17.33203125" style="331" customWidth="1"/>
    <col min="5642" max="5642" width="15.1640625" style="331" customWidth="1"/>
    <col min="5643" max="5643" width="19.6640625" style="331" customWidth="1"/>
    <col min="5644" max="5646" width="16" style="331" customWidth="1"/>
    <col min="5647" max="5647" width="14.83203125" style="331" customWidth="1"/>
    <col min="5648" max="5648" width="17.33203125" style="331" customWidth="1"/>
    <col min="5649" max="5649" width="14.83203125" style="331" customWidth="1"/>
    <col min="5650" max="5658" width="9" style="331" customWidth="1"/>
    <col min="5659" max="5659" width="7.1640625" style="331" bestFit="1" customWidth="1"/>
    <col min="5660" max="5661" width="9" style="331" customWidth="1"/>
    <col min="5662" max="5666" width="10.33203125" style="331" customWidth="1"/>
    <col min="5667" max="5888" width="9" style="331" customWidth="1"/>
    <col min="5889" max="5889" width="60.33203125" style="331" customWidth="1"/>
    <col min="5890" max="5890" width="2.83203125" style="331" customWidth="1"/>
    <col min="5891" max="5891" width="14.83203125" style="331" customWidth="1"/>
    <col min="5892" max="5892" width="13.83203125" style="331" bestFit="1" customWidth="1"/>
    <col min="5893" max="5893" width="15.33203125" style="331" customWidth="1"/>
    <col min="5894" max="5894" width="14.1640625" style="331" customWidth="1"/>
    <col min="5895" max="5895" width="15.1640625" style="331" customWidth="1"/>
    <col min="5896" max="5896" width="13.33203125" style="331" customWidth="1"/>
    <col min="5897" max="5897" width="17.33203125" style="331" customWidth="1"/>
    <col min="5898" max="5898" width="15.1640625" style="331" customWidth="1"/>
    <col min="5899" max="5899" width="19.6640625" style="331" customWidth="1"/>
    <col min="5900" max="5902" width="16" style="331" customWidth="1"/>
    <col min="5903" max="5903" width="14.83203125" style="331" customWidth="1"/>
    <col min="5904" max="5904" width="17.33203125" style="331" customWidth="1"/>
    <col min="5905" max="5905" width="14.83203125" style="331" customWidth="1"/>
    <col min="5906" max="5914" width="9" style="331" customWidth="1"/>
    <col min="5915" max="5915" width="7.1640625" style="331" bestFit="1" customWidth="1"/>
    <col min="5916" max="5917" width="9" style="331" customWidth="1"/>
    <col min="5918" max="5922" width="10.33203125" style="331" customWidth="1"/>
    <col min="5923" max="6144" width="9" style="331" customWidth="1"/>
    <col min="6145" max="6145" width="60.33203125" style="331" customWidth="1"/>
    <col min="6146" max="6146" width="2.83203125" style="331" customWidth="1"/>
    <col min="6147" max="6147" width="14.83203125" style="331" customWidth="1"/>
    <col min="6148" max="6148" width="13.83203125" style="331" bestFit="1" customWidth="1"/>
    <col min="6149" max="6149" width="15.33203125" style="331" customWidth="1"/>
    <col min="6150" max="6150" width="14.1640625" style="331" customWidth="1"/>
    <col min="6151" max="6151" width="15.1640625" style="331" customWidth="1"/>
    <col min="6152" max="6152" width="13.33203125" style="331" customWidth="1"/>
    <col min="6153" max="6153" width="17.33203125" style="331" customWidth="1"/>
    <col min="6154" max="6154" width="15.1640625" style="331" customWidth="1"/>
    <col min="6155" max="6155" width="19.6640625" style="331" customWidth="1"/>
    <col min="6156" max="6158" width="16" style="331" customWidth="1"/>
    <col min="6159" max="6159" width="14.83203125" style="331" customWidth="1"/>
    <col min="6160" max="6160" width="17.33203125" style="331" customWidth="1"/>
    <col min="6161" max="6161" width="14.83203125" style="331" customWidth="1"/>
    <col min="6162" max="6170" width="9" style="331" customWidth="1"/>
    <col min="6171" max="6171" width="7.1640625" style="331" bestFit="1" customWidth="1"/>
    <col min="6172" max="6173" width="9" style="331" customWidth="1"/>
    <col min="6174" max="6178" width="10.33203125" style="331" customWidth="1"/>
    <col min="6179" max="6400" width="9" style="331" customWidth="1"/>
    <col min="6401" max="6401" width="60.33203125" style="331" customWidth="1"/>
    <col min="6402" max="6402" width="2.83203125" style="331" customWidth="1"/>
    <col min="6403" max="6403" width="14.83203125" style="331" customWidth="1"/>
    <col min="6404" max="6404" width="13.83203125" style="331" bestFit="1" customWidth="1"/>
    <col min="6405" max="6405" width="15.33203125" style="331" customWidth="1"/>
    <col min="6406" max="6406" width="14.1640625" style="331" customWidth="1"/>
    <col min="6407" max="6407" width="15.1640625" style="331" customWidth="1"/>
    <col min="6408" max="6408" width="13.33203125" style="331" customWidth="1"/>
    <col min="6409" max="6409" width="17.33203125" style="331" customWidth="1"/>
    <col min="6410" max="6410" width="15.1640625" style="331" customWidth="1"/>
    <col min="6411" max="6411" width="19.6640625" style="331" customWidth="1"/>
    <col min="6412" max="6414" width="16" style="331" customWidth="1"/>
    <col min="6415" max="6415" width="14.83203125" style="331" customWidth="1"/>
    <col min="6416" max="6416" width="17.33203125" style="331" customWidth="1"/>
    <col min="6417" max="6417" width="14.83203125" style="331" customWidth="1"/>
    <col min="6418" max="6426" width="9" style="331" customWidth="1"/>
    <col min="6427" max="6427" width="7.1640625" style="331" bestFit="1" customWidth="1"/>
    <col min="6428" max="6429" width="9" style="331" customWidth="1"/>
    <col min="6430" max="6434" width="10.33203125" style="331" customWidth="1"/>
    <col min="6435" max="6656" width="9" style="331" customWidth="1"/>
    <col min="6657" max="6657" width="60.33203125" style="331" customWidth="1"/>
    <col min="6658" max="6658" width="2.83203125" style="331" customWidth="1"/>
    <col min="6659" max="6659" width="14.83203125" style="331" customWidth="1"/>
    <col min="6660" max="6660" width="13.83203125" style="331" bestFit="1" customWidth="1"/>
    <col min="6661" max="6661" width="15.33203125" style="331" customWidth="1"/>
    <col min="6662" max="6662" width="14.1640625" style="331" customWidth="1"/>
    <col min="6663" max="6663" width="15.1640625" style="331" customWidth="1"/>
    <col min="6664" max="6664" width="13.33203125" style="331" customWidth="1"/>
    <col min="6665" max="6665" width="17.33203125" style="331" customWidth="1"/>
    <col min="6666" max="6666" width="15.1640625" style="331" customWidth="1"/>
    <col min="6667" max="6667" width="19.6640625" style="331" customWidth="1"/>
    <col min="6668" max="6670" width="16" style="331" customWidth="1"/>
    <col min="6671" max="6671" width="14.83203125" style="331" customWidth="1"/>
    <col min="6672" max="6672" width="17.33203125" style="331" customWidth="1"/>
    <col min="6673" max="6673" width="14.83203125" style="331" customWidth="1"/>
    <col min="6674" max="6682" width="9" style="331" customWidth="1"/>
    <col min="6683" max="6683" width="7.1640625" style="331" bestFit="1" customWidth="1"/>
    <col min="6684" max="6685" width="9" style="331" customWidth="1"/>
    <col min="6686" max="6690" width="10.33203125" style="331" customWidth="1"/>
    <col min="6691" max="6912" width="9" style="331" customWidth="1"/>
    <col min="6913" max="6913" width="60.33203125" style="331" customWidth="1"/>
    <col min="6914" max="6914" width="2.83203125" style="331" customWidth="1"/>
    <col min="6915" max="6915" width="14.83203125" style="331" customWidth="1"/>
    <col min="6916" max="6916" width="13.83203125" style="331" bestFit="1" customWidth="1"/>
    <col min="6917" max="6917" width="15.33203125" style="331" customWidth="1"/>
    <col min="6918" max="6918" width="14.1640625" style="331" customWidth="1"/>
    <col min="6919" max="6919" width="15.1640625" style="331" customWidth="1"/>
    <col min="6920" max="6920" width="13.33203125" style="331" customWidth="1"/>
    <col min="6921" max="6921" width="17.33203125" style="331" customWidth="1"/>
    <col min="6922" max="6922" width="15.1640625" style="331" customWidth="1"/>
    <col min="6923" max="6923" width="19.6640625" style="331" customWidth="1"/>
    <col min="6924" max="6926" width="16" style="331" customWidth="1"/>
    <col min="6927" max="6927" width="14.83203125" style="331" customWidth="1"/>
    <col min="6928" max="6928" width="17.33203125" style="331" customWidth="1"/>
    <col min="6929" max="6929" width="14.83203125" style="331" customWidth="1"/>
    <col min="6930" max="6938" width="9" style="331" customWidth="1"/>
    <col min="6939" max="6939" width="7.1640625" style="331" bestFit="1" customWidth="1"/>
    <col min="6940" max="6941" width="9" style="331" customWidth="1"/>
    <col min="6942" max="6946" width="10.33203125" style="331" customWidth="1"/>
    <col min="6947" max="7168" width="9" style="331" customWidth="1"/>
    <col min="7169" max="7169" width="60.33203125" style="331" customWidth="1"/>
    <col min="7170" max="7170" width="2.83203125" style="331" customWidth="1"/>
    <col min="7171" max="7171" width="14.83203125" style="331" customWidth="1"/>
    <col min="7172" max="7172" width="13.83203125" style="331" bestFit="1" customWidth="1"/>
    <col min="7173" max="7173" width="15.33203125" style="331" customWidth="1"/>
    <col min="7174" max="7174" width="14.1640625" style="331" customWidth="1"/>
    <col min="7175" max="7175" width="15.1640625" style="331" customWidth="1"/>
    <col min="7176" max="7176" width="13.33203125" style="331" customWidth="1"/>
    <col min="7177" max="7177" width="17.33203125" style="331" customWidth="1"/>
    <col min="7178" max="7178" width="15.1640625" style="331" customWidth="1"/>
    <col min="7179" max="7179" width="19.6640625" style="331" customWidth="1"/>
    <col min="7180" max="7182" width="16" style="331" customWidth="1"/>
    <col min="7183" max="7183" width="14.83203125" style="331" customWidth="1"/>
    <col min="7184" max="7184" width="17.33203125" style="331" customWidth="1"/>
    <col min="7185" max="7185" width="14.83203125" style="331" customWidth="1"/>
    <col min="7186" max="7194" width="9" style="331" customWidth="1"/>
    <col min="7195" max="7195" width="7.1640625" style="331" bestFit="1" customWidth="1"/>
    <col min="7196" max="7197" width="9" style="331" customWidth="1"/>
    <col min="7198" max="7202" width="10.33203125" style="331" customWidth="1"/>
    <col min="7203" max="7424" width="9" style="331" customWidth="1"/>
    <col min="7425" max="7425" width="60.33203125" style="331" customWidth="1"/>
    <col min="7426" max="7426" width="2.83203125" style="331" customWidth="1"/>
    <col min="7427" max="7427" width="14.83203125" style="331" customWidth="1"/>
    <col min="7428" max="7428" width="13.83203125" style="331" bestFit="1" customWidth="1"/>
    <col min="7429" max="7429" width="15.33203125" style="331" customWidth="1"/>
    <col min="7430" max="7430" width="14.1640625" style="331" customWidth="1"/>
    <col min="7431" max="7431" width="15.1640625" style="331" customWidth="1"/>
    <col min="7432" max="7432" width="13.33203125" style="331" customWidth="1"/>
    <col min="7433" max="7433" width="17.33203125" style="331" customWidth="1"/>
    <col min="7434" max="7434" width="15.1640625" style="331" customWidth="1"/>
    <col min="7435" max="7435" width="19.6640625" style="331" customWidth="1"/>
    <col min="7436" max="7438" width="16" style="331" customWidth="1"/>
    <col min="7439" max="7439" width="14.83203125" style="331" customWidth="1"/>
    <col min="7440" max="7440" width="17.33203125" style="331" customWidth="1"/>
    <col min="7441" max="7441" width="14.83203125" style="331" customWidth="1"/>
    <col min="7442" max="7450" width="9" style="331" customWidth="1"/>
    <col min="7451" max="7451" width="7.1640625" style="331" bestFit="1" customWidth="1"/>
    <col min="7452" max="7453" width="9" style="331" customWidth="1"/>
    <col min="7454" max="7458" width="10.33203125" style="331" customWidth="1"/>
    <col min="7459" max="7680" width="9" style="331" customWidth="1"/>
    <col min="7681" max="7681" width="60.33203125" style="331" customWidth="1"/>
    <col min="7682" max="7682" width="2.83203125" style="331" customWidth="1"/>
    <col min="7683" max="7683" width="14.83203125" style="331" customWidth="1"/>
    <col min="7684" max="7684" width="13.83203125" style="331" bestFit="1" customWidth="1"/>
    <col min="7685" max="7685" width="15.33203125" style="331" customWidth="1"/>
    <col min="7686" max="7686" width="14.1640625" style="331" customWidth="1"/>
    <col min="7687" max="7687" width="15.1640625" style="331" customWidth="1"/>
    <col min="7688" max="7688" width="13.33203125" style="331" customWidth="1"/>
    <col min="7689" max="7689" width="17.33203125" style="331" customWidth="1"/>
    <col min="7690" max="7690" width="15.1640625" style="331" customWidth="1"/>
    <col min="7691" max="7691" width="19.6640625" style="331" customWidth="1"/>
    <col min="7692" max="7694" width="16" style="331" customWidth="1"/>
    <col min="7695" max="7695" width="14.83203125" style="331" customWidth="1"/>
    <col min="7696" max="7696" width="17.33203125" style="331" customWidth="1"/>
    <col min="7697" max="7697" width="14.83203125" style="331" customWidth="1"/>
    <col min="7698" max="7706" width="9" style="331" customWidth="1"/>
    <col min="7707" max="7707" width="7.1640625" style="331" bestFit="1" customWidth="1"/>
    <col min="7708" max="7709" width="9" style="331" customWidth="1"/>
    <col min="7710" max="7714" width="10.33203125" style="331" customWidth="1"/>
    <col min="7715" max="7936" width="9" style="331" customWidth="1"/>
    <col min="7937" max="7937" width="60.33203125" style="331" customWidth="1"/>
    <col min="7938" max="7938" width="2.83203125" style="331" customWidth="1"/>
    <col min="7939" max="7939" width="14.83203125" style="331" customWidth="1"/>
    <col min="7940" max="7940" width="13.83203125" style="331" bestFit="1" customWidth="1"/>
    <col min="7941" max="7941" width="15.33203125" style="331" customWidth="1"/>
    <col min="7942" max="7942" width="14.1640625" style="331" customWidth="1"/>
    <col min="7943" max="7943" width="15.1640625" style="331" customWidth="1"/>
    <col min="7944" max="7944" width="13.33203125" style="331" customWidth="1"/>
    <col min="7945" max="7945" width="17.33203125" style="331" customWidth="1"/>
    <col min="7946" max="7946" width="15.1640625" style="331" customWidth="1"/>
    <col min="7947" max="7947" width="19.6640625" style="331" customWidth="1"/>
    <col min="7948" max="7950" width="16" style="331" customWidth="1"/>
    <col min="7951" max="7951" width="14.83203125" style="331" customWidth="1"/>
    <col min="7952" max="7952" width="17.33203125" style="331" customWidth="1"/>
    <col min="7953" max="7953" width="14.83203125" style="331" customWidth="1"/>
    <col min="7954" max="7962" width="9" style="331" customWidth="1"/>
    <col min="7963" max="7963" width="7.1640625" style="331" bestFit="1" customWidth="1"/>
    <col min="7964" max="7965" width="9" style="331" customWidth="1"/>
    <col min="7966" max="7970" width="10.33203125" style="331" customWidth="1"/>
    <col min="7971" max="8192" width="9" style="331" customWidth="1"/>
    <col min="8193" max="8193" width="60.33203125" style="331" customWidth="1"/>
    <col min="8194" max="8194" width="2.83203125" style="331" customWidth="1"/>
    <col min="8195" max="8195" width="14.83203125" style="331" customWidth="1"/>
    <col min="8196" max="8196" width="13.83203125" style="331" bestFit="1" customWidth="1"/>
    <col min="8197" max="8197" width="15.33203125" style="331" customWidth="1"/>
    <col min="8198" max="8198" width="14.1640625" style="331" customWidth="1"/>
    <col min="8199" max="8199" width="15.1640625" style="331" customWidth="1"/>
    <col min="8200" max="8200" width="13.33203125" style="331" customWidth="1"/>
    <col min="8201" max="8201" width="17.33203125" style="331" customWidth="1"/>
    <col min="8202" max="8202" width="15.1640625" style="331" customWidth="1"/>
    <col min="8203" max="8203" width="19.6640625" style="331" customWidth="1"/>
    <col min="8204" max="8206" width="16" style="331" customWidth="1"/>
    <col min="8207" max="8207" width="14.83203125" style="331" customWidth="1"/>
    <col min="8208" max="8208" width="17.33203125" style="331" customWidth="1"/>
    <col min="8209" max="8209" width="14.83203125" style="331" customWidth="1"/>
    <col min="8210" max="8218" width="9" style="331" customWidth="1"/>
    <col min="8219" max="8219" width="7.1640625" style="331" bestFit="1" customWidth="1"/>
    <col min="8220" max="8221" width="9" style="331" customWidth="1"/>
    <col min="8222" max="8226" width="10.33203125" style="331" customWidth="1"/>
    <col min="8227" max="8448" width="9" style="331" customWidth="1"/>
    <col min="8449" max="8449" width="60.33203125" style="331" customWidth="1"/>
    <col min="8450" max="8450" width="2.83203125" style="331" customWidth="1"/>
    <col min="8451" max="8451" width="14.83203125" style="331" customWidth="1"/>
    <col min="8452" max="8452" width="13.83203125" style="331" bestFit="1" customWidth="1"/>
    <col min="8453" max="8453" width="15.33203125" style="331" customWidth="1"/>
    <col min="8454" max="8454" width="14.1640625" style="331" customWidth="1"/>
    <col min="8455" max="8455" width="15.1640625" style="331" customWidth="1"/>
    <col min="8456" max="8456" width="13.33203125" style="331" customWidth="1"/>
    <col min="8457" max="8457" width="17.33203125" style="331" customWidth="1"/>
    <col min="8458" max="8458" width="15.1640625" style="331" customWidth="1"/>
    <col min="8459" max="8459" width="19.6640625" style="331" customWidth="1"/>
    <col min="8460" max="8462" width="16" style="331" customWidth="1"/>
    <col min="8463" max="8463" width="14.83203125" style="331" customWidth="1"/>
    <col min="8464" max="8464" width="17.33203125" style="331" customWidth="1"/>
    <col min="8465" max="8465" width="14.83203125" style="331" customWidth="1"/>
    <col min="8466" max="8474" width="9" style="331" customWidth="1"/>
    <col min="8475" max="8475" width="7.1640625" style="331" bestFit="1" customWidth="1"/>
    <col min="8476" max="8477" width="9" style="331" customWidth="1"/>
    <col min="8478" max="8482" width="10.33203125" style="331" customWidth="1"/>
    <col min="8483" max="8704" width="9" style="331" customWidth="1"/>
    <col min="8705" max="8705" width="60.33203125" style="331" customWidth="1"/>
    <col min="8706" max="8706" width="2.83203125" style="331" customWidth="1"/>
    <col min="8707" max="8707" width="14.83203125" style="331" customWidth="1"/>
    <col min="8708" max="8708" width="13.83203125" style="331" bestFit="1" customWidth="1"/>
    <col min="8709" max="8709" width="15.33203125" style="331" customWidth="1"/>
    <col min="8710" max="8710" width="14.1640625" style="331" customWidth="1"/>
    <col min="8711" max="8711" width="15.1640625" style="331" customWidth="1"/>
    <col min="8712" max="8712" width="13.33203125" style="331" customWidth="1"/>
    <col min="8713" max="8713" width="17.33203125" style="331" customWidth="1"/>
    <col min="8714" max="8714" width="15.1640625" style="331" customWidth="1"/>
    <col min="8715" max="8715" width="19.6640625" style="331" customWidth="1"/>
    <col min="8716" max="8718" width="16" style="331" customWidth="1"/>
    <col min="8719" max="8719" width="14.83203125" style="331" customWidth="1"/>
    <col min="8720" max="8720" width="17.33203125" style="331" customWidth="1"/>
    <col min="8721" max="8721" width="14.83203125" style="331" customWidth="1"/>
    <col min="8722" max="8730" width="9" style="331" customWidth="1"/>
    <col min="8731" max="8731" width="7.1640625" style="331" bestFit="1" customWidth="1"/>
    <col min="8732" max="8733" width="9" style="331" customWidth="1"/>
    <col min="8734" max="8738" width="10.33203125" style="331" customWidth="1"/>
    <col min="8739" max="8960" width="9" style="331" customWidth="1"/>
    <col min="8961" max="8961" width="60.33203125" style="331" customWidth="1"/>
    <col min="8962" max="8962" width="2.83203125" style="331" customWidth="1"/>
    <col min="8963" max="8963" width="14.83203125" style="331" customWidth="1"/>
    <col min="8964" max="8964" width="13.83203125" style="331" bestFit="1" customWidth="1"/>
    <col min="8965" max="8965" width="15.33203125" style="331" customWidth="1"/>
    <col min="8966" max="8966" width="14.1640625" style="331" customWidth="1"/>
    <col min="8967" max="8967" width="15.1640625" style="331" customWidth="1"/>
    <col min="8968" max="8968" width="13.33203125" style="331" customWidth="1"/>
    <col min="8969" max="8969" width="17.33203125" style="331" customWidth="1"/>
    <col min="8970" max="8970" width="15.1640625" style="331" customWidth="1"/>
    <col min="8971" max="8971" width="19.6640625" style="331" customWidth="1"/>
    <col min="8972" max="8974" width="16" style="331" customWidth="1"/>
    <col min="8975" max="8975" width="14.83203125" style="331" customWidth="1"/>
    <col min="8976" max="8976" width="17.33203125" style="331" customWidth="1"/>
    <col min="8977" max="8977" width="14.83203125" style="331" customWidth="1"/>
    <col min="8978" max="8986" width="9" style="331" customWidth="1"/>
    <col min="8987" max="8987" width="7.1640625" style="331" bestFit="1" customWidth="1"/>
    <col min="8988" max="8989" width="9" style="331" customWidth="1"/>
    <col min="8990" max="8994" width="10.33203125" style="331" customWidth="1"/>
    <col min="8995" max="9216" width="9" style="331" customWidth="1"/>
    <col min="9217" max="9217" width="60.33203125" style="331" customWidth="1"/>
    <col min="9218" max="9218" width="2.83203125" style="331" customWidth="1"/>
    <col min="9219" max="9219" width="14.83203125" style="331" customWidth="1"/>
    <col min="9220" max="9220" width="13.83203125" style="331" bestFit="1" customWidth="1"/>
    <col min="9221" max="9221" width="15.33203125" style="331" customWidth="1"/>
    <col min="9222" max="9222" width="14.1640625" style="331" customWidth="1"/>
    <col min="9223" max="9223" width="15.1640625" style="331" customWidth="1"/>
    <col min="9224" max="9224" width="13.33203125" style="331" customWidth="1"/>
    <col min="9225" max="9225" width="17.33203125" style="331" customWidth="1"/>
    <col min="9226" max="9226" width="15.1640625" style="331" customWidth="1"/>
    <col min="9227" max="9227" width="19.6640625" style="331" customWidth="1"/>
    <col min="9228" max="9230" width="16" style="331" customWidth="1"/>
    <col min="9231" max="9231" width="14.83203125" style="331" customWidth="1"/>
    <col min="9232" max="9232" width="17.33203125" style="331" customWidth="1"/>
    <col min="9233" max="9233" width="14.83203125" style="331" customWidth="1"/>
    <col min="9234" max="9242" width="9" style="331" customWidth="1"/>
    <col min="9243" max="9243" width="7.1640625" style="331" bestFit="1" customWidth="1"/>
    <col min="9244" max="9245" width="9" style="331" customWidth="1"/>
    <col min="9246" max="9250" width="10.33203125" style="331" customWidth="1"/>
    <col min="9251" max="9472" width="9" style="331" customWidth="1"/>
    <col min="9473" max="9473" width="60.33203125" style="331" customWidth="1"/>
    <col min="9474" max="9474" width="2.83203125" style="331" customWidth="1"/>
    <col min="9475" max="9475" width="14.83203125" style="331" customWidth="1"/>
    <col min="9476" max="9476" width="13.83203125" style="331" bestFit="1" customWidth="1"/>
    <col min="9477" max="9477" width="15.33203125" style="331" customWidth="1"/>
    <col min="9478" max="9478" width="14.1640625" style="331" customWidth="1"/>
    <col min="9479" max="9479" width="15.1640625" style="331" customWidth="1"/>
    <col min="9480" max="9480" width="13.33203125" style="331" customWidth="1"/>
    <col min="9481" max="9481" width="17.33203125" style="331" customWidth="1"/>
    <col min="9482" max="9482" width="15.1640625" style="331" customWidth="1"/>
    <col min="9483" max="9483" width="19.6640625" style="331" customWidth="1"/>
    <col min="9484" max="9486" width="16" style="331" customWidth="1"/>
    <col min="9487" max="9487" width="14.83203125" style="331" customWidth="1"/>
    <col min="9488" max="9488" width="17.33203125" style="331" customWidth="1"/>
    <col min="9489" max="9489" width="14.83203125" style="331" customWidth="1"/>
    <col min="9490" max="9498" width="9" style="331" customWidth="1"/>
    <col min="9499" max="9499" width="7.1640625" style="331" bestFit="1" customWidth="1"/>
    <col min="9500" max="9501" width="9" style="331" customWidth="1"/>
    <col min="9502" max="9506" width="10.33203125" style="331" customWidth="1"/>
    <col min="9507" max="9728" width="9" style="331" customWidth="1"/>
    <col min="9729" max="9729" width="60.33203125" style="331" customWidth="1"/>
    <col min="9730" max="9730" width="2.83203125" style="331" customWidth="1"/>
    <col min="9731" max="9731" width="14.83203125" style="331" customWidth="1"/>
    <col min="9732" max="9732" width="13.83203125" style="331" bestFit="1" customWidth="1"/>
    <col min="9733" max="9733" width="15.33203125" style="331" customWidth="1"/>
    <col min="9734" max="9734" width="14.1640625" style="331" customWidth="1"/>
    <col min="9735" max="9735" width="15.1640625" style="331" customWidth="1"/>
    <col min="9736" max="9736" width="13.33203125" style="331" customWidth="1"/>
    <col min="9737" max="9737" width="17.33203125" style="331" customWidth="1"/>
    <col min="9738" max="9738" width="15.1640625" style="331" customWidth="1"/>
    <col min="9739" max="9739" width="19.6640625" style="331" customWidth="1"/>
    <col min="9740" max="9742" width="16" style="331" customWidth="1"/>
    <col min="9743" max="9743" width="14.83203125" style="331" customWidth="1"/>
    <col min="9744" max="9744" width="17.33203125" style="331" customWidth="1"/>
    <col min="9745" max="9745" width="14.83203125" style="331" customWidth="1"/>
    <col min="9746" max="9754" width="9" style="331" customWidth="1"/>
    <col min="9755" max="9755" width="7.1640625" style="331" bestFit="1" customWidth="1"/>
    <col min="9756" max="9757" width="9" style="331" customWidth="1"/>
    <col min="9758" max="9762" width="10.33203125" style="331" customWidth="1"/>
    <col min="9763" max="9984" width="9" style="331" customWidth="1"/>
    <col min="9985" max="9985" width="60.33203125" style="331" customWidth="1"/>
    <col min="9986" max="9986" width="2.83203125" style="331" customWidth="1"/>
    <col min="9987" max="9987" width="14.83203125" style="331" customWidth="1"/>
    <col min="9988" max="9988" width="13.83203125" style="331" bestFit="1" customWidth="1"/>
    <col min="9989" max="9989" width="15.33203125" style="331" customWidth="1"/>
    <col min="9990" max="9990" width="14.1640625" style="331" customWidth="1"/>
    <col min="9991" max="9991" width="15.1640625" style="331" customWidth="1"/>
    <col min="9992" max="9992" width="13.33203125" style="331" customWidth="1"/>
    <col min="9993" max="9993" width="17.33203125" style="331" customWidth="1"/>
    <col min="9994" max="9994" width="15.1640625" style="331" customWidth="1"/>
    <col min="9995" max="9995" width="19.6640625" style="331" customWidth="1"/>
    <col min="9996" max="9998" width="16" style="331" customWidth="1"/>
    <col min="9999" max="9999" width="14.83203125" style="331" customWidth="1"/>
    <col min="10000" max="10000" width="17.33203125" style="331" customWidth="1"/>
    <col min="10001" max="10001" width="14.83203125" style="331" customWidth="1"/>
    <col min="10002" max="10010" width="9" style="331" customWidth="1"/>
    <col min="10011" max="10011" width="7.1640625" style="331" bestFit="1" customWidth="1"/>
    <col min="10012" max="10013" width="9" style="331" customWidth="1"/>
    <col min="10014" max="10018" width="10.33203125" style="331" customWidth="1"/>
    <col min="10019" max="10240" width="9" style="331" customWidth="1"/>
    <col min="10241" max="10241" width="60.33203125" style="331" customWidth="1"/>
    <col min="10242" max="10242" width="2.83203125" style="331" customWidth="1"/>
    <col min="10243" max="10243" width="14.83203125" style="331" customWidth="1"/>
    <col min="10244" max="10244" width="13.83203125" style="331" bestFit="1" customWidth="1"/>
    <col min="10245" max="10245" width="15.33203125" style="331" customWidth="1"/>
    <col min="10246" max="10246" width="14.1640625" style="331" customWidth="1"/>
    <col min="10247" max="10247" width="15.1640625" style="331" customWidth="1"/>
    <col min="10248" max="10248" width="13.33203125" style="331" customWidth="1"/>
    <col min="10249" max="10249" width="17.33203125" style="331" customWidth="1"/>
    <col min="10250" max="10250" width="15.1640625" style="331" customWidth="1"/>
    <col min="10251" max="10251" width="19.6640625" style="331" customWidth="1"/>
    <col min="10252" max="10254" width="16" style="331" customWidth="1"/>
    <col min="10255" max="10255" width="14.83203125" style="331" customWidth="1"/>
    <col min="10256" max="10256" width="17.33203125" style="331" customWidth="1"/>
    <col min="10257" max="10257" width="14.83203125" style="331" customWidth="1"/>
    <col min="10258" max="10266" width="9" style="331" customWidth="1"/>
    <col min="10267" max="10267" width="7.1640625" style="331" bestFit="1" customWidth="1"/>
    <col min="10268" max="10269" width="9" style="331" customWidth="1"/>
    <col min="10270" max="10274" width="10.33203125" style="331" customWidth="1"/>
    <col min="10275" max="10496" width="9" style="331" customWidth="1"/>
    <col min="10497" max="10497" width="60.33203125" style="331" customWidth="1"/>
    <col min="10498" max="10498" width="2.83203125" style="331" customWidth="1"/>
    <col min="10499" max="10499" width="14.83203125" style="331" customWidth="1"/>
    <col min="10500" max="10500" width="13.83203125" style="331" bestFit="1" customWidth="1"/>
    <col min="10501" max="10501" width="15.33203125" style="331" customWidth="1"/>
    <col min="10502" max="10502" width="14.1640625" style="331" customWidth="1"/>
    <col min="10503" max="10503" width="15.1640625" style="331" customWidth="1"/>
    <col min="10504" max="10504" width="13.33203125" style="331" customWidth="1"/>
    <col min="10505" max="10505" width="17.33203125" style="331" customWidth="1"/>
    <col min="10506" max="10506" width="15.1640625" style="331" customWidth="1"/>
    <col min="10507" max="10507" width="19.6640625" style="331" customWidth="1"/>
    <col min="10508" max="10510" width="16" style="331" customWidth="1"/>
    <col min="10511" max="10511" width="14.83203125" style="331" customWidth="1"/>
    <col min="10512" max="10512" width="17.33203125" style="331" customWidth="1"/>
    <col min="10513" max="10513" width="14.83203125" style="331" customWidth="1"/>
    <col min="10514" max="10522" width="9" style="331" customWidth="1"/>
    <col min="10523" max="10523" width="7.1640625" style="331" bestFit="1" customWidth="1"/>
    <col min="10524" max="10525" width="9" style="331" customWidth="1"/>
    <col min="10526" max="10530" width="10.33203125" style="331" customWidth="1"/>
    <col min="10531" max="10752" width="9" style="331" customWidth="1"/>
    <col min="10753" max="10753" width="60.33203125" style="331" customWidth="1"/>
    <col min="10754" max="10754" width="2.83203125" style="331" customWidth="1"/>
    <col min="10755" max="10755" width="14.83203125" style="331" customWidth="1"/>
    <col min="10756" max="10756" width="13.83203125" style="331" bestFit="1" customWidth="1"/>
    <col min="10757" max="10757" width="15.33203125" style="331" customWidth="1"/>
    <col min="10758" max="10758" width="14.1640625" style="331" customWidth="1"/>
    <col min="10759" max="10759" width="15.1640625" style="331" customWidth="1"/>
    <col min="10760" max="10760" width="13.33203125" style="331" customWidth="1"/>
    <col min="10761" max="10761" width="17.33203125" style="331" customWidth="1"/>
    <col min="10762" max="10762" width="15.1640625" style="331" customWidth="1"/>
    <col min="10763" max="10763" width="19.6640625" style="331" customWidth="1"/>
    <col min="10764" max="10766" width="16" style="331" customWidth="1"/>
    <col min="10767" max="10767" width="14.83203125" style="331" customWidth="1"/>
    <col min="10768" max="10768" width="17.33203125" style="331" customWidth="1"/>
    <col min="10769" max="10769" width="14.83203125" style="331" customWidth="1"/>
    <col min="10770" max="10778" width="9" style="331" customWidth="1"/>
    <col min="10779" max="10779" width="7.1640625" style="331" bestFit="1" customWidth="1"/>
    <col min="10780" max="10781" width="9" style="331" customWidth="1"/>
    <col min="10782" max="10786" width="10.33203125" style="331" customWidth="1"/>
    <col min="10787" max="11008" width="9" style="331" customWidth="1"/>
    <col min="11009" max="11009" width="60.33203125" style="331" customWidth="1"/>
    <col min="11010" max="11010" width="2.83203125" style="331" customWidth="1"/>
    <col min="11011" max="11011" width="14.83203125" style="331" customWidth="1"/>
    <col min="11012" max="11012" width="13.83203125" style="331" bestFit="1" customWidth="1"/>
    <col min="11013" max="11013" width="15.33203125" style="331" customWidth="1"/>
    <col min="11014" max="11014" width="14.1640625" style="331" customWidth="1"/>
    <col min="11015" max="11015" width="15.1640625" style="331" customWidth="1"/>
    <col min="11016" max="11016" width="13.33203125" style="331" customWidth="1"/>
    <col min="11017" max="11017" width="17.33203125" style="331" customWidth="1"/>
    <col min="11018" max="11018" width="15.1640625" style="331" customWidth="1"/>
    <col min="11019" max="11019" width="19.6640625" style="331" customWidth="1"/>
    <col min="11020" max="11022" width="16" style="331" customWidth="1"/>
    <col min="11023" max="11023" width="14.83203125" style="331" customWidth="1"/>
    <col min="11024" max="11024" width="17.33203125" style="331" customWidth="1"/>
    <col min="11025" max="11025" width="14.83203125" style="331" customWidth="1"/>
    <col min="11026" max="11034" width="9" style="331" customWidth="1"/>
    <col min="11035" max="11035" width="7.1640625" style="331" bestFit="1" customWidth="1"/>
    <col min="11036" max="11037" width="9" style="331" customWidth="1"/>
    <col min="11038" max="11042" width="10.33203125" style="331" customWidth="1"/>
    <col min="11043" max="11264" width="9" style="331" customWidth="1"/>
    <col min="11265" max="11265" width="60.33203125" style="331" customWidth="1"/>
    <col min="11266" max="11266" width="2.83203125" style="331" customWidth="1"/>
    <col min="11267" max="11267" width="14.83203125" style="331" customWidth="1"/>
    <col min="11268" max="11268" width="13.83203125" style="331" bestFit="1" customWidth="1"/>
    <col min="11269" max="11269" width="15.33203125" style="331" customWidth="1"/>
    <col min="11270" max="11270" width="14.1640625" style="331" customWidth="1"/>
    <col min="11271" max="11271" width="15.1640625" style="331" customWidth="1"/>
    <col min="11272" max="11272" width="13.33203125" style="331" customWidth="1"/>
    <col min="11273" max="11273" width="17.33203125" style="331" customWidth="1"/>
    <col min="11274" max="11274" width="15.1640625" style="331" customWidth="1"/>
    <col min="11275" max="11275" width="19.6640625" style="331" customWidth="1"/>
    <col min="11276" max="11278" width="16" style="331" customWidth="1"/>
    <col min="11279" max="11279" width="14.83203125" style="331" customWidth="1"/>
    <col min="11280" max="11280" width="17.33203125" style="331" customWidth="1"/>
    <col min="11281" max="11281" width="14.83203125" style="331" customWidth="1"/>
    <col min="11282" max="11290" width="9" style="331" customWidth="1"/>
    <col min="11291" max="11291" width="7.1640625" style="331" bestFit="1" customWidth="1"/>
    <col min="11292" max="11293" width="9" style="331" customWidth="1"/>
    <col min="11294" max="11298" width="10.33203125" style="331" customWidth="1"/>
    <col min="11299" max="11520" width="9" style="331" customWidth="1"/>
    <col min="11521" max="11521" width="60.33203125" style="331" customWidth="1"/>
    <col min="11522" max="11522" width="2.83203125" style="331" customWidth="1"/>
    <col min="11523" max="11523" width="14.83203125" style="331" customWidth="1"/>
    <col min="11524" max="11524" width="13.83203125" style="331" bestFit="1" customWidth="1"/>
    <col min="11525" max="11525" width="15.33203125" style="331" customWidth="1"/>
    <col min="11526" max="11526" width="14.1640625" style="331" customWidth="1"/>
    <col min="11527" max="11527" width="15.1640625" style="331" customWidth="1"/>
    <col min="11528" max="11528" width="13.33203125" style="331" customWidth="1"/>
    <col min="11529" max="11529" width="17.33203125" style="331" customWidth="1"/>
    <col min="11530" max="11530" width="15.1640625" style="331" customWidth="1"/>
    <col min="11531" max="11531" width="19.6640625" style="331" customWidth="1"/>
    <col min="11532" max="11534" width="16" style="331" customWidth="1"/>
    <col min="11535" max="11535" width="14.83203125" style="331" customWidth="1"/>
    <col min="11536" max="11536" width="17.33203125" style="331" customWidth="1"/>
    <col min="11537" max="11537" width="14.83203125" style="331" customWidth="1"/>
    <col min="11538" max="11546" width="9" style="331" customWidth="1"/>
    <col min="11547" max="11547" width="7.1640625" style="331" bestFit="1" customWidth="1"/>
    <col min="11548" max="11549" width="9" style="331" customWidth="1"/>
    <col min="11550" max="11554" width="10.33203125" style="331" customWidth="1"/>
    <col min="11555" max="11776" width="9" style="331" customWidth="1"/>
    <col min="11777" max="11777" width="60.33203125" style="331" customWidth="1"/>
    <col min="11778" max="11778" width="2.83203125" style="331" customWidth="1"/>
    <col min="11779" max="11779" width="14.83203125" style="331" customWidth="1"/>
    <col min="11780" max="11780" width="13.83203125" style="331" bestFit="1" customWidth="1"/>
    <col min="11781" max="11781" width="15.33203125" style="331" customWidth="1"/>
    <col min="11782" max="11782" width="14.1640625" style="331" customWidth="1"/>
    <col min="11783" max="11783" width="15.1640625" style="331" customWidth="1"/>
    <col min="11784" max="11784" width="13.33203125" style="331" customWidth="1"/>
    <col min="11785" max="11785" width="17.33203125" style="331" customWidth="1"/>
    <col min="11786" max="11786" width="15.1640625" style="331" customWidth="1"/>
    <col min="11787" max="11787" width="19.6640625" style="331" customWidth="1"/>
    <col min="11788" max="11790" width="16" style="331" customWidth="1"/>
    <col min="11791" max="11791" width="14.83203125" style="331" customWidth="1"/>
    <col min="11792" max="11792" width="17.33203125" style="331" customWidth="1"/>
    <col min="11793" max="11793" width="14.83203125" style="331" customWidth="1"/>
    <col min="11794" max="11802" width="9" style="331" customWidth="1"/>
    <col min="11803" max="11803" width="7.1640625" style="331" bestFit="1" customWidth="1"/>
    <col min="11804" max="11805" width="9" style="331" customWidth="1"/>
    <col min="11806" max="11810" width="10.33203125" style="331" customWidth="1"/>
    <col min="11811" max="12032" width="9" style="331" customWidth="1"/>
    <col min="12033" max="12033" width="60.33203125" style="331" customWidth="1"/>
    <col min="12034" max="12034" width="2.83203125" style="331" customWidth="1"/>
    <col min="12035" max="12035" width="14.83203125" style="331" customWidth="1"/>
    <col min="12036" max="12036" width="13.83203125" style="331" bestFit="1" customWidth="1"/>
    <col min="12037" max="12037" width="15.33203125" style="331" customWidth="1"/>
    <col min="12038" max="12038" width="14.1640625" style="331" customWidth="1"/>
    <col min="12039" max="12039" width="15.1640625" style="331" customWidth="1"/>
    <col min="12040" max="12040" width="13.33203125" style="331" customWidth="1"/>
    <col min="12041" max="12041" width="17.33203125" style="331" customWidth="1"/>
    <col min="12042" max="12042" width="15.1640625" style="331" customWidth="1"/>
    <col min="12043" max="12043" width="19.6640625" style="331" customWidth="1"/>
    <col min="12044" max="12046" width="16" style="331" customWidth="1"/>
    <col min="12047" max="12047" width="14.83203125" style="331" customWidth="1"/>
    <col min="12048" max="12048" width="17.33203125" style="331" customWidth="1"/>
    <col min="12049" max="12049" width="14.83203125" style="331" customWidth="1"/>
    <col min="12050" max="12058" width="9" style="331" customWidth="1"/>
    <col min="12059" max="12059" width="7.1640625" style="331" bestFit="1" customWidth="1"/>
    <col min="12060" max="12061" width="9" style="331" customWidth="1"/>
    <col min="12062" max="12066" width="10.33203125" style="331" customWidth="1"/>
    <col min="12067" max="12288" width="9" style="331" customWidth="1"/>
    <col min="12289" max="12289" width="60.33203125" style="331" customWidth="1"/>
    <col min="12290" max="12290" width="2.83203125" style="331" customWidth="1"/>
    <col min="12291" max="12291" width="14.83203125" style="331" customWidth="1"/>
    <col min="12292" max="12292" width="13.83203125" style="331" bestFit="1" customWidth="1"/>
    <col min="12293" max="12293" width="15.33203125" style="331" customWidth="1"/>
    <col min="12294" max="12294" width="14.1640625" style="331" customWidth="1"/>
    <col min="12295" max="12295" width="15.1640625" style="331" customWidth="1"/>
    <col min="12296" max="12296" width="13.33203125" style="331" customWidth="1"/>
    <col min="12297" max="12297" width="17.33203125" style="331" customWidth="1"/>
    <col min="12298" max="12298" width="15.1640625" style="331" customWidth="1"/>
    <col min="12299" max="12299" width="19.6640625" style="331" customWidth="1"/>
    <col min="12300" max="12302" width="16" style="331" customWidth="1"/>
    <col min="12303" max="12303" width="14.83203125" style="331" customWidth="1"/>
    <col min="12304" max="12304" width="17.33203125" style="331" customWidth="1"/>
    <col min="12305" max="12305" width="14.83203125" style="331" customWidth="1"/>
    <col min="12306" max="12314" width="9" style="331" customWidth="1"/>
    <col min="12315" max="12315" width="7.1640625" style="331" bestFit="1" customWidth="1"/>
    <col min="12316" max="12317" width="9" style="331" customWidth="1"/>
    <col min="12318" max="12322" width="10.33203125" style="331" customWidth="1"/>
    <col min="12323" max="12544" width="9" style="331" customWidth="1"/>
    <col min="12545" max="12545" width="60.33203125" style="331" customWidth="1"/>
    <col min="12546" max="12546" width="2.83203125" style="331" customWidth="1"/>
    <col min="12547" max="12547" width="14.83203125" style="331" customWidth="1"/>
    <col min="12548" max="12548" width="13.83203125" style="331" bestFit="1" customWidth="1"/>
    <col min="12549" max="12549" width="15.33203125" style="331" customWidth="1"/>
    <col min="12550" max="12550" width="14.1640625" style="331" customWidth="1"/>
    <col min="12551" max="12551" width="15.1640625" style="331" customWidth="1"/>
    <col min="12552" max="12552" width="13.33203125" style="331" customWidth="1"/>
    <col min="12553" max="12553" width="17.33203125" style="331" customWidth="1"/>
    <col min="12554" max="12554" width="15.1640625" style="331" customWidth="1"/>
    <col min="12555" max="12555" width="19.6640625" style="331" customWidth="1"/>
    <col min="12556" max="12558" width="16" style="331" customWidth="1"/>
    <col min="12559" max="12559" width="14.83203125" style="331" customWidth="1"/>
    <col min="12560" max="12560" width="17.33203125" style="331" customWidth="1"/>
    <col min="12561" max="12561" width="14.83203125" style="331" customWidth="1"/>
    <col min="12562" max="12570" width="9" style="331" customWidth="1"/>
    <col min="12571" max="12571" width="7.1640625" style="331" bestFit="1" customWidth="1"/>
    <col min="12572" max="12573" width="9" style="331" customWidth="1"/>
    <col min="12574" max="12578" width="10.33203125" style="331" customWidth="1"/>
    <col min="12579" max="12800" width="9" style="331" customWidth="1"/>
    <col min="12801" max="12801" width="60.33203125" style="331" customWidth="1"/>
    <col min="12802" max="12802" width="2.83203125" style="331" customWidth="1"/>
    <col min="12803" max="12803" width="14.83203125" style="331" customWidth="1"/>
    <col min="12804" max="12804" width="13.83203125" style="331" bestFit="1" customWidth="1"/>
    <col min="12805" max="12805" width="15.33203125" style="331" customWidth="1"/>
    <col min="12806" max="12806" width="14.1640625" style="331" customWidth="1"/>
    <col min="12807" max="12807" width="15.1640625" style="331" customWidth="1"/>
    <col min="12808" max="12808" width="13.33203125" style="331" customWidth="1"/>
    <col min="12809" max="12809" width="17.33203125" style="331" customWidth="1"/>
    <col min="12810" max="12810" width="15.1640625" style="331" customWidth="1"/>
    <col min="12811" max="12811" width="19.6640625" style="331" customWidth="1"/>
    <col min="12812" max="12814" width="16" style="331" customWidth="1"/>
    <col min="12815" max="12815" width="14.83203125" style="331" customWidth="1"/>
    <col min="12816" max="12816" width="17.33203125" style="331" customWidth="1"/>
    <col min="12817" max="12817" width="14.83203125" style="331" customWidth="1"/>
    <col min="12818" max="12826" width="9" style="331" customWidth="1"/>
    <col min="12827" max="12827" width="7.1640625" style="331" bestFit="1" customWidth="1"/>
    <col min="12828" max="12829" width="9" style="331" customWidth="1"/>
    <col min="12830" max="12834" width="10.33203125" style="331" customWidth="1"/>
    <col min="12835" max="13056" width="9" style="331" customWidth="1"/>
    <col min="13057" max="13057" width="60.33203125" style="331" customWidth="1"/>
    <col min="13058" max="13058" width="2.83203125" style="331" customWidth="1"/>
    <col min="13059" max="13059" width="14.83203125" style="331" customWidth="1"/>
    <col min="13060" max="13060" width="13.83203125" style="331" bestFit="1" customWidth="1"/>
    <col min="13061" max="13061" width="15.33203125" style="331" customWidth="1"/>
    <col min="13062" max="13062" width="14.1640625" style="331" customWidth="1"/>
    <col min="13063" max="13063" width="15.1640625" style="331" customWidth="1"/>
    <col min="13064" max="13064" width="13.33203125" style="331" customWidth="1"/>
    <col min="13065" max="13065" width="17.33203125" style="331" customWidth="1"/>
    <col min="13066" max="13066" width="15.1640625" style="331" customWidth="1"/>
    <col min="13067" max="13067" width="19.6640625" style="331" customWidth="1"/>
    <col min="13068" max="13070" width="16" style="331" customWidth="1"/>
    <col min="13071" max="13071" width="14.83203125" style="331" customWidth="1"/>
    <col min="13072" max="13072" width="17.33203125" style="331" customWidth="1"/>
    <col min="13073" max="13073" width="14.83203125" style="331" customWidth="1"/>
    <col min="13074" max="13082" width="9" style="331" customWidth="1"/>
    <col min="13083" max="13083" width="7.1640625" style="331" bestFit="1" customWidth="1"/>
    <col min="13084" max="13085" width="9" style="331" customWidth="1"/>
    <col min="13086" max="13090" width="10.33203125" style="331" customWidth="1"/>
    <col min="13091" max="13312" width="9" style="331" customWidth="1"/>
    <col min="13313" max="13313" width="60.33203125" style="331" customWidth="1"/>
    <col min="13314" max="13314" width="2.83203125" style="331" customWidth="1"/>
    <col min="13315" max="13315" width="14.83203125" style="331" customWidth="1"/>
    <col min="13316" max="13316" width="13.83203125" style="331" bestFit="1" customWidth="1"/>
    <col min="13317" max="13317" width="15.33203125" style="331" customWidth="1"/>
    <col min="13318" max="13318" width="14.1640625" style="331" customWidth="1"/>
    <col min="13319" max="13319" width="15.1640625" style="331" customWidth="1"/>
    <col min="13320" max="13320" width="13.33203125" style="331" customWidth="1"/>
    <col min="13321" max="13321" width="17.33203125" style="331" customWidth="1"/>
    <col min="13322" max="13322" width="15.1640625" style="331" customWidth="1"/>
    <col min="13323" max="13323" width="19.6640625" style="331" customWidth="1"/>
    <col min="13324" max="13326" width="16" style="331" customWidth="1"/>
    <col min="13327" max="13327" width="14.83203125" style="331" customWidth="1"/>
    <col min="13328" max="13328" width="17.33203125" style="331" customWidth="1"/>
    <col min="13329" max="13329" width="14.83203125" style="331" customWidth="1"/>
    <col min="13330" max="13338" width="9" style="331" customWidth="1"/>
    <col min="13339" max="13339" width="7.1640625" style="331" bestFit="1" customWidth="1"/>
    <col min="13340" max="13341" width="9" style="331" customWidth="1"/>
    <col min="13342" max="13346" width="10.33203125" style="331" customWidth="1"/>
    <col min="13347" max="13568" width="9" style="331" customWidth="1"/>
    <col min="13569" max="13569" width="60.33203125" style="331" customWidth="1"/>
    <col min="13570" max="13570" width="2.83203125" style="331" customWidth="1"/>
    <col min="13571" max="13571" width="14.83203125" style="331" customWidth="1"/>
    <col min="13572" max="13572" width="13.83203125" style="331" bestFit="1" customWidth="1"/>
    <col min="13573" max="13573" width="15.33203125" style="331" customWidth="1"/>
    <col min="13574" max="13574" width="14.1640625" style="331" customWidth="1"/>
    <col min="13575" max="13575" width="15.1640625" style="331" customWidth="1"/>
    <col min="13576" max="13576" width="13.33203125" style="331" customWidth="1"/>
    <col min="13577" max="13577" width="17.33203125" style="331" customWidth="1"/>
    <col min="13578" max="13578" width="15.1640625" style="331" customWidth="1"/>
    <col min="13579" max="13579" width="19.6640625" style="331" customWidth="1"/>
    <col min="13580" max="13582" width="16" style="331" customWidth="1"/>
    <col min="13583" max="13583" width="14.83203125" style="331" customWidth="1"/>
    <col min="13584" max="13584" width="17.33203125" style="331" customWidth="1"/>
    <col min="13585" max="13585" width="14.83203125" style="331" customWidth="1"/>
    <col min="13586" max="13594" width="9" style="331" customWidth="1"/>
    <col min="13595" max="13595" width="7.1640625" style="331" bestFit="1" customWidth="1"/>
    <col min="13596" max="13597" width="9" style="331" customWidth="1"/>
    <col min="13598" max="13602" width="10.33203125" style="331" customWidth="1"/>
    <col min="13603" max="13824" width="9" style="331" customWidth="1"/>
    <col min="13825" max="13825" width="60.33203125" style="331" customWidth="1"/>
    <col min="13826" max="13826" width="2.83203125" style="331" customWidth="1"/>
    <col min="13827" max="13827" width="14.83203125" style="331" customWidth="1"/>
    <col min="13828" max="13828" width="13.83203125" style="331" bestFit="1" customWidth="1"/>
    <col min="13829" max="13829" width="15.33203125" style="331" customWidth="1"/>
    <col min="13830" max="13830" width="14.1640625" style="331" customWidth="1"/>
    <col min="13831" max="13831" width="15.1640625" style="331" customWidth="1"/>
    <col min="13832" max="13832" width="13.33203125" style="331" customWidth="1"/>
    <col min="13833" max="13833" width="17.33203125" style="331" customWidth="1"/>
    <col min="13834" max="13834" width="15.1640625" style="331" customWidth="1"/>
    <col min="13835" max="13835" width="19.6640625" style="331" customWidth="1"/>
    <col min="13836" max="13838" width="16" style="331" customWidth="1"/>
    <col min="13839" max="13839" width="14.83203125" style="331" customWidth="1"/>
    <col min="13840" max="13840" width="17.33203125" style="331" customWidth="1"/>
    <col min="13841" max="13841" width="14.83203125" style="331" customWidth="1"/>
    <col min="13842" max="13850" width="9" style="331" customWidth="1"/>
    <col min="13851" max="13851" width="7.1640625" style="331" bestFit="1" customWidth="1"/>
    <col min="13852" max="13853" width="9" style="331" customWidth="1"/>
    <col min="13854" max="13858" width="10.33203125" style="331" customWidth="1"/>
    <col min="13859" max="14080" width="9" style="331" customWidth="1"/>
    <col min="14081" max="14081" width="60.33203125" style="331" customWidth="1"/>
    <col min="14082" max="14082" width="2.83203125" style="331" customWidth="1"/>
    <col min="14083" max="14083" width="14.83203125" style="331" customWidth="1"/>
    <col min="14084" max="14084" width="13.83203125" style="331" bestFit="1" customWidth="1"/>
    <col min="14085" max="14085" width="15.33203125" style="331" customWidth="1"/>
    <col min="14086" max="14086" width="14.1640625" style="331" customWidth="1"/>
    <col min="14087" max="14087" width="15.1640625" style="331" customWidth="1"/>
    <col min="14088" max="14088" width="13.33203125" style="331" customWidth="1"/>
    <col min="14089" max="14089" width="17.33203125" style="331" customWidth="1"/>
    <col min="14090" max="14090" width="15.1640625" style="331" customWidth="1"/>
    <col min="14091" max="14091" width="19.6640625" style="331" customWidth="1"/>
    <col min="14092" max="14094" width="16" style="331" customWidth="1"/>
    <col min="14095" max="14095" width="14.83203125" style="331" customWidth="1"/>
    <col min="14096" max="14096" width="17.33203125" style="331" customWidth="1"/>
    <col min="14097" max="14097" width="14.83203125" style="331" customWidth="1"/>
    <col min="14098" max="14106" width="9" style="331" customWidth="1"/>
    <col min="14107" max="14107" width="7.1640625" style="331" bestFit="1" customWidth="1"/>
    <col min="14108" max="14109" width="9" style="331" customWidth="1"/>
    <col min="14110" max="14114" width="10.33203125" style="331" customWidth="1"/>
    <col min="14115" max="14336" width="9" style="331" customWidth="1"/>
    <col min="14337" max="14337" width="60.33203125" style="331" customWidth="1"/>
    <col min="14338" max="14338" width="2.83203125" style="331" customWidth="1"/>
    <col min="14339" max="14339" width="14.83203125" style="331" customWidth="1"/>
    <col min="14340" max="14340" width="13.83203125" style="331" bestFit="1" customWidth="1"/>
    <col min="14341" max="14341" width="15.33203125" style="331" customWidth="1"/>
    <col min="14342" max="14342" width="14.1640625" style="331" customWidth="1"/>
    <col min="14343" max="14343" width="15.1640625" style="331" customWidth="1"/>
    <col min="14344" max="14344" width="13.33203125" style="331" customWidth="1"/>
    <col min="14345" max="14345" width="17.33203125" style="331" customWidth="1"/>
    <col min="14346" max="14346" width="15.1640625" style="331" customWidth="1"/>
    <col min="14347" max="14347" width="19.6640625" style="331" customWidth="1"/>
    <col min="14348" max="14350" width="16" style="331" customWidth="1"/>
    <col min="14351" max="14351" width="14.83203125" style="331" customWidth="1"/>
    <col min="14352" max="14352" width="17.33203125" style="331" customWidth="1"/>
    <col min="14353" max="14353" width="14.83203125" style="331" customWidth="1"/>
    <col min="14354" max="14362" width="9" style="331" customWidth="1"/>
    <col min="14363" max="14363" width="7.1640625" style="331" bestFit="1" customWidth="1"/>
    <col min="14364" max="14365" width="9" style="331" customWidth="1"/>
    <col min="14366" max="14370" width="10.33203125" style="331" customWidth="1"/>
    <col min="14371" max="14592" width="9" style="331" customWidth="1"/>
    <col min="14593" max="14593" width="60.33203125" style="331" customWidth="1"/>
    <col min="14594" max="14594" width="2.83203125" style="331" customWidth="1"/>
    <col min="14595" max="14595" width="14.83203125" style="331" customWidth="1"/>
    <col min="14596" max="14596" width="13.83203125" style="331" bestFit="1" customWidth="1"/>
    <col min="14597" max="14597" width="15.33203125" style="331" customWidth="1"/>
    <col min="14598" max="14598" width="14.1640625" style="331" customWidth="1"/>
    <col min="14599" max="14599" width="15.1640625" style="331" customWidth="1"/>
    <col min="14600" max="14600" width="13.33203125" style="331" customWidth="1"/>
    <col min="14601" max="14601" width="17.33203125" style="331" customWidth="1"/>
    <col min="14602" max="14602" width="15.1640625" style="331" customWidth="1"/>
    <col min="14603" max="14603" width="19.6640625" style="331" customWidth="1"/>
    <col min="14604" max="14606" width="16" style="331" customWidth="1"/>
    <col min="14607" max="14607" width="14.83203125" style="331" customWidth="1"/>
    <col min="14608" max="14608" width="17.33203125" style="331" customWidth="1"/>
    <col min="14609" max="14609" width="14.83203125" style="331" customWidth="1"/>
    <col min="14610" max="14618" width="9" style="331" customWidth="1"/>
    <col min="14619" max="14619" width="7.1640625" style="331" bestFit="1" customWidth="1"/>
    <col min="14620" max="14621" width="9" style="331" customWidth="1"/>
    <col min="14622" max="14626" width="10.33203125" style="331" customWidth="1"/>
    <col min="14627" max="14848" width="9" style="331" customWidth="1"/>
    <col min="14849" max="14849" width="60.33203125" style="331" customWidth="1"/>
    <col min="14850" max="14850" width="2.83203125" style="331" customWidth="1"/>
    <col min="14851" max="14851" width="14.83203125" style="331" customWidth="1"/>
    <col min="14852" max="14852" width="13.83203125" style="331" bestFit="1" customWidth="1"/>
    <col min="14853" max="14853" width="15.33203125" style="331" customWidth="1"/>
    <col min="14854" max="14854" width="14.1640625" style="331" customWidth="1"/>
    <col min="14855" max="14855" width="15.1640625" style="331" customWidth="1"/>
    <col min="14856" max="14856" width="13.33203125" style="331" customWidth="1"/>
    <col min="14857" max="14857" width="17.33203125" style="331" customWidth="1"/>
    <col min="14858" max="14858" width="15.1640625" style="331" customWidth="1"/>
    <col min="14859" max="14859" width="19.6640625" style="331" customWidth="1"/>
    <col min="14860" max="14862" width="16" style="331" customWidth="1"/>
    <col min="14863" max="14863" width="14.83203125" style="331" customWidth="1"/>
    <col min="14864" max="14864" width="17.33203125" style="331" customWidth="1"/>
    <col min="14865" max="14865" width="14.83203125" style="331" customWidth="1"/>
    <col min="14866" max="14874" width="9" style="331" customWidth="1"/>
    <col min="14875" max="14875" width="7.1640625" style="331" bestFit="1" customWidth="1"/>
    <col min="14876" max="14877" width="9" style="331" customWidth="1"/>
    <col min="14878" max="14882" width="10.33203125" style="331" customWidth="1"/>
    <col min="14883" max="15104" width="9" style="331" customWidth="1"/>
    <col min="15105" max="15105" width="60.33203125" style="331" customWidth="1"/>
    <col min="15106" max="15106" width="2.83203125" style="331" customWidth="1"/>
    <col min="15107" max="15107" width="14.83203125" style="331" customWidth="1"/>
    <col min="15108" max="15108" width="13.83203125" style="331" bestFit="1" customWidth="1"/>
    <col min="15109" max="15109" width="15.33203125" style="331" customWidth="1"/>
    <col min="15110" max="15110" width="14.1640625" style="331" customWidth="1"/>
    <col min="15111" max="15111" width="15.1640625" style="331" customWidth="1"/>
    <col min="15112" max="15112" width="13.33203125" style="331" customWidth="1"/>
    <col min="15113" max="15113" width="17.33203125" style="331" customWidth="1"/>
    <col min="15114" max="15114" width="15.1640625" style="331" customWidth="1"/>
    <col min="15115" max="15115" width="19.6640625" style="331" customWidth="1"/>
    <col min="15116" max="15118" width="16" style="331" customWidth="1"/>
    <col min="15119" max="15119" width="14.83203125" style="331" customWidth="1"/>
    <col min="15120" max="15120" width="17.33203125" style="331" customWidth="1"/>
    <col min="15121" max="15121" width="14.83203125" style="331" customWidth="1"/>
    <col min="15122" max="15130" width="9" style="331" customWidth="1"/>
    <col min="15131" max="15131" width="7.1640625" style="331" bestFit="1" customWidth="1"/>
    <col min="15132" max="15133" width="9" style="331" customWidth="1"/>
    <col min="15134" max="15138" width="10.33203125" style="331" customWidth="1"/>
    <col min="15139" max="15360" width="9" style="331" customWidth="1"/>
    <col min="15361" max="15361" width="60.33203125" style="331" customWidth="1"/>
    <col min="15362" max="15362" width="2.83203125" style="331" customWidth="1"/>
    <col min="15363" max="15363" width="14.83203125" style="331" customWidth="1"/>
    <col min="15364" max="15364" width="13.83203125" style="331" bestFit="1" customWidth="1"/>
    <col min="15365" max="15365" width="15.33203125" style="331" customWidth="1"/>
    <col min="15366" max="15366" width="14.1640625" style="331" customWidth="1"/>
    <col min="15367" max="15367" width="15.1640625" style="331" customWidth="1"/>
    <col min="15368" max="15368" width="13.33203125" style="331" customWidth="1"/>
    <col min="15369" max="15369" width="17.33203125" style="331" customWidth="1"/>
    <col min="15370" max="15370" width="15.1640625" style="331" customWidth="1"/>
    <col min="15371" max="15371" width="19.6640625" style="331" customWidth="1"/>
    <col min="15372" max="15374" width="16" style="331" customWidth="1"/>
    <col min="15375" max="15375" width="14.83203125" style="331" customWidth="1"/>
    <col min="15376" max="15376" width="17.33203125" style="331" customWidth="1"/>
    <col min="15377" max="15377" width="14.83203125" style="331" customWidth="1"/>
    <col min="15378" max="15386" width="9" style="331" customWidth="1"/>
    <col min="15387" max="15387" width="7.1640625" style="331" bestFit="1" customWidth="1"/>
    <col min="15388" max="15389" width="9" style="331" customWidth="1"/>
    <col min="15390" max="15394" width="10.33203125" style="331" customWidth="1"/>
    <col min="15395" max="15616" width="9" style="331" customWidth="1"/>
    <col min="15617" max="15617" width="60.33203125" style="331" customWidth="1"/>
    <col min="15618" max="15618" width="2.83203125" style="331" customWidth="1"/>
    <col min="15619" max="15619" width="14.83203125" style="331" customWidth="1"/>
    <col min="15620" max="15620" width="13.83203125" style="331" bestFit="1" customWidth="1"/>
    <col min="15621" max="15621" width="15.33203125" style="331" customWidth="1"/>
    <col min="15622" max="15622" width="14.1640625" style="331" customWidth="1"/>
    <col min="15623" max="15623" width="15.1640625" style="331" customWidth="1"/>
    <col min="15624" max="15624" width="13.33203125" style="331" customWidth="1"/>
    <col min="15625" max="15625" width="17.33203125" style="331" customWidth="1"/>
    <col min="15626" max="15626" width="15.1640625" style="331" customWidth="1"/>
    <col min="15627" max="15627" width="19.6640625" style="331" customWidth="1"/>
    <col min="15628" max="15630" width="16" style="331" customWidth="1"/>
    <col min="15631" max="15631" width="14.83203125" style="331" customWidth="1"/>
    <col min="15632" max="15632" width="17.33203125" style="331" customWidth="1"/>
    <col min="15633" max="15633" width="14.83203125" style="331" customWidth="1"/>
    <col min="15634" max="15642" width="9" style="331" customWidth="1"/>
    <col min="15643" max="15643" width="7.1640625" style="331" bestFit="1" customWidth="1"/>
    <col min="15644" max="15645" width="9" style="331" customWidth="1"/>
    <col min="15646" max="15650" width="10.33203125" style="331" customWidth="1"/>
    <col min="15651" max="15872" width="9" style="331" customWidth="1"/>
    <col min="15873" max="15873" width="60.33203125" style="331" customWidth="1"/>
    <col min="15874" max="15874" width="2.83203125" style="331" customWidth="1"/>
    <col min="15875" max="15875" width="14.83203125" style="331" customWidth="1"/>
    <col min="15876" max="15876" width="13.83203125" style="331" bestFit="1" customWidth="1"/>
    <col min="15877" max="15877" width="15.33203125" style="331" customWidth="1"/>
    <col min="15878" max="15878" width="14.1640625" style="331" customWidth="1"/>
    <col min="15879" max="15879" width="15.1640625" style="331" customWidth="1"/>
    <col min="15880" max="15880" width="13.33203125" style="331" customWidth="1"/>
    <col min="15881" max="15881" width="17.33203125" style="331" customWidth="1"/>
    <col min="15882" max="15882" width="15.1640625" style="331" customWidth="1"/>
    <col min="15883" max="15883" width="19.6640625" style="331" customWidth="1"/>
    <col min="15884" max="15886" width="16" style="331" customWidth="1"/>
    <col min="15887" max="15887" width="14.83203125" style="331" customWidth="1"/>
    <col min="15888" max="15888" width="17.33203125" style="331" customWidth="1"/>
    <col min="15889" max="15889" width="14.83203125" style="331" customWidth="1"/>
    <col min="15890" max="15898" width="9" style="331" customWidth="1"/>
    <col min="15899" max="15899" width="7.1640625" style="331" bestFit="1" customWidth="1"/>
    <col min="15900" max="15901" width="9" style="331" customWidth="1"/>
    <col min="15902" max="15906" width="10.33203125" style="331" customWidth="1"/>
    <col min="15907" max="16128" width="9" style="331" customWidth="1"/>
    <col min="16129" max="16129" width="60.33203125" style="331" customWidth="1"/>
    <col min="16130" max="16130" width="2.83203125" style="331" customWidth="1"/>
    <col min="16131" max="16131" width="14.83203125" style="331" customWidth="1"/>
    <col min="16132" max="16132" width="13.83203125" style="331" bestFit="1" customWidth="1"/>
    <col min="16133" max="16133" width="15.33203125" style="331" customWidth="1"/>
    <col min="16134" max="16134" width="14.1640625" style="331" customWidth="1"/>
    <col min="16135" max="16135" width="15.1640625" style="331" customWidth="1"/>
    <col min="16136" max="16136" width="13.33203125" style="331" customWidth="1"/>
    <col min="16137" max="16137" width="17.33203125" style="331" customWidth="1"/>
    <col min="16138" max="16138" width="15.1640625" style="331" customWidth="1"/>
    <col min="16139" max="16139" width="19.6640625" style="331" customWidth="1"/>
    <col min="16140" max="16142" width="16" style="331" customWidth="1"/>
    <col min="16143" max="16143" width="14.83203125" style="331" customWidth="1"/>
    <col min="16144" max="16144" width="17.33203125" style="331" customWidth="1"/>
    <col min="16145" max="16145" width="14.83203125" style="331" customWidth="1"/>
    <col min="16146" max="16154" width="9" style="331" customWidth="1"/>
    <col min="16155" max="16155" width="7.1640625" style="331" bestFit="1" customWidth="1"/>
    <col min="16156" max="16157" width="9" style="331" customWidth="1"/>
    <col min="16158" max="16162" width="10.33203125" style="331" customWidth="1"/>
    <col min="16163" max="16384" width="9" style="331" customWidth="1"/>
  </cols>
  <sheetData>
    <row r="1" spans="1:27" x14ac:dyDescent="0.2">
      <c r="A1" s="330" t="s">
        <v>0</v>
      </c>
      <c r="B1" s="815" t="str">
        <f>'Cover Page'!D1</f>
        <v>ASU Preparatory Academy - Phoenix Middle School</v>
      </c>
      <c r="C1" s="815"/>
      <c r="D1" s="815"/>
      <c r="E1" s="815"/>
      <c r="G1" s="330" t="s">
        <v>1</v>
      </c>
      <c r="H1" s="815" t="str">
        <f>'Cover Page'!M1</f>
        <v>Maricopa</v>
      </c>
      <c r="I1" s="815"/>
      <c r="K1" s="330" t="s">
        <v>2</v>
      </c>
      <c r="L1" s="333" t="str">
        <f>'Cover Page'!R1</f>
        <v>078250000</v>
      </c>
      <c r="M1" s="334"/>
      <c r="N1" s="334"/>
      <c r="O1" s="335"/>
      <c r="P1" s="336"/>
    </row>
    <row r="2" spans="1:27" x14ac:dyDescent="0.2">
      <c r="A2" s="330"/>
      <c r="B2" s="330"/>
      <c r="C2" s="340"/>
      <c r="D2" s="334"/>
      <c r="E2" s="341"/>
      <c r="F2" s="341"/>
      <c r="G2" s="341"/>
      <c r="H2" s="330"/>
      <c r="I2" s="334"/>
      <c r="J2" s="334"/>
      <c r="K2" s="334"/>
      <c r="L2" s="341"/>
      <c r="M2" s="334"/>
      <c r="N2" s="334"/>
      <c r="O2" s="335"/>
      <c r="P2" s="335"/>
      <c r="Q2" s="342"/>
    </row>
    <row r="3" spans="1:27" x14ac:dyDescent="0.2">
      <c r="B3" s="607"/>
      <c r="C3" s="607" t="s">
        <v>427</v>
      </c>
      <c r="D3" s="607"/>
      <c r="E3" s="607"/>
      <c r="F3" s="607"/>
      <c r="G3" s="607"/>
      <c r="H3" s="607"/>
      <c r="I3" s="607"/>
      <c r="J3" s="607"/>
      <c r="K3" s="607"/>
      <c r="L3" s="607"/>
      <c r="M3" s="607"/>
      <c r="N3" s="335"/>
    </row>
    <row r="4" spans="1:27" ht="24" customHeight="1" x14ac:dyDescent="0.2">
      <c r="L4" s="335"/>
      <c r="M4" s="607"/>
      <c r="N4" s="607"/>
    </row>
    <row r="5" spans="1:27" x14ac:dyDescent="0.2">
      <c r="A5" s="818"/>
      <c r="B5" s="29"/>
      <c r="C5" s="343"/>
      <c r="D5" s="820" t="s">
        <v>360</v>
      </c>
      <c r="E5" s="821"/>
      <c r="F5" s="821"/>
      <c r="G5" s="821"/>
      <c r="H5" s="821"/>
      <c r="I5" s="821"/>
      <c r="J5" s="821"/>
      <c r="K5" s="821"/>
      <c r="L5" s="822"/>
      <c r="M5" s="344" t="s">
        <v>428</v>
      </c>
      <c r="N5" s="823" t="s">
        <v>292</v>
      </c>
    </row>
    <row r="6" spans="1:27" x14ac:dyDescent="0.2">
      <c r="A6" s="819"/>
      <c r="D6" s="345"/>
      <c r="E6" s="346"/>
      <c r="F6" s="346" t="s">
        <v>153</v>
      </c>
      <c r="G6" s="346"/>
      <c r="H6" s="346"/>
      <c r="I6" s="346"/>
      <c r="J6" s="346"/>
      <c r="K6" s="346" t="s">
        <v>97</v>
      </c>
      <c r="L6" s="347"/>
      <c r="N6" s="824"/>
    </row>
    <row r="7" spans="1:27" x14ac:dyDescent="0.2">
      <c r="D7" s="348"/>
      <c r="E7" s="349" t="s">
        <v>88</v>
      </c>
      <c r="F7" s="349" t="s">
        <v>95</v>
      </c>
      <c r="G7" s="349"/>
      <c r="H7" s="349" t="s">
        <v>361</v>
      </c>
      <c r="I7" s="349" t="s">
        <v>429</v>
      </c>
      <c r="J7" s="349"/>
      <c r="K7" s="350" t="s">
        <v>362</v>
      </c>
      <c r="L7" s="351"/>
      <c r="M7" s="352" t="s">
        <v>430</v>
      </c>
      <c r="N7" s="824"/>
    </row>
    <row r="8" spans="1:27" ht="12" customHeight="1" x14ac:dyDescent="0.2">
      <c r="A8" s="826" t="s">
        <v>431</v>
      </c>
      <c r="B8" s="826"/>
      <c r="C8" s="827"/>
      <c r="D8" s="349" t="s">
        <v>93</v>
      </c>
      <c r="E8" s="353" t="s">
        <v>94</v>
      </c>
      <c r="F8" s="353" t="s">
        <v>363</v>
      </c>
      <c r="G8" s="353" t="s">
        <v>96</v>
      </c>
      <c r="H8" s="353" t="s">
        <v>364</v>
      </c>
      <c r="I8" s="353" t="s">
        <v>432</v>
      </c>
      <c r="J8" s="353" t="s">
        <v>365</v>
      </c>
      <c r="K8" s="350" t="s">
        <v>433</v>
      </c>
      <c r="L8" s="354" t="s">
        <v>367</v>
      </c>
      <c r="M8" s="352" t="s">
        <v>434</v>
      </c>
      <c r="N8" s="824"/>
    </row>
    <row r="9" spans="1:27" x14ac:dyDescent="0.2">
      <c r="A9" s="828"/>
      <c r="B9" s="828"/>
      <c r="C9" s="829"/>
      <c r="D9" s="355">
        <v>6100</v>
      </c>
      <c r="E9" s="355">
        <v>6200</v>
      </c>
      <c r="F9" s="355">
        <v>6500</v>
      </c>
      <c r="G9" s="355">
        <v>6600</v>
      </c>
      <c r="H9" s="355">
        <v>6810</v>
      </c>
      <c r="I9" s="355">
        <v>6820</v>
      </c>
      <c r="J9" s="355">
        <v>6890</v>
      </c>
      <c r="K9" s="355" t="s">
        <v>435</v>
      </c>
      <c r="L9" s="354" t="s">
        <v>370</v>
      </c>
      <c r="M9" s="356" t="s">
        <v>436</v>
      </c>
      <c r="N9" s="825"/>
    </row>
    <row r="10" spans="1:27" ht="12.75" customHeight="1" x14ac:dyDescent="0.2">
      <c r="A10" s="357" t="s">
        <v>206</v>
      </c>
      <c r="B10" s="358"/>
      <c r="C10" s="359" t="s">
        <v>24</v>
      </c>
      <c r="D10" s="360">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189192</v>
      </c>
      <c r="E10" s="360">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55124</v>
      </c>
      <c r="F10" s="360">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60">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38807</v>
      </c>
      <c r="H10" s="360">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61"/>
      <c r="J10" s="360">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60">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0">
        <v>0</v>
      </c>
      <c r="M10" s="360">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62">
        <f t="shared" ref="N10:N19" si="0">ROUND(SUM(D10:M10),0)</f>
        <v>283123</v>
      </c>
      <c r="O10" s="363"/>
    </row>
    <row r="11" spans="1:27" x14ac:dyDescent="0.2">
      <c r="A11" s="364" t="s">
        <v>437</v>
      </c>
      <c r="B11" s="634"/>
      <c r="C11" s="365" t="s">
        <v>26</v>
      </c>
      <c r="D11" s="360">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108310</v>
      </c>
      <c r="E11" s="360">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34337</v>
      </c>
      <c r="F11" s="360">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25560</v>
      </c>
      <c r="G11" s="360">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27914</v>
      </c>
      <c r="H11" s="360">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1"/>
      <c r="J11" s="360">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0">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0">
        <v>0</v>
      </c>
      <c r="M11" s="360">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2">
        <f t="shared" si="0"/>
        <v>196121</v>
      </c>
      <c r="O11" s="363"/>
    </row>
    <row r="12" spans="1:27" x14ac:dyDescent="0.2">
      <c r="A12" s="364" t="s">
        <v>438</v>
      </c>
      <c r="B12" s="634"/>
      <c r="C12" s="365" t="s">
        <v>28</v>
      </c>
      <c r="D12" s="360">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60">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60">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0">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0">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0">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0">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0">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0">
        <v>0</v>
      </c>
      <c r="M12" s="366">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2">
        <f t="shared" si="0"/>
        <v>0</v>
      </c>
      <c r="O12" s="363"/>
      <c r="AA12" s="367">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8" t="s">
        <v>211</v>
      </c>
      <c r="B13" s="369"/>
      <c r="C13" s="370" t="s">
        <v>31</v>
      </c>
      <c r="D13" s="360">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60">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60">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0">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0">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1"/>
      <c r="J13" s="360">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0">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0">
        <v>0</v>
      </c>
      <c r="M13" s="360">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2">
        <f t="shared" si="0"/>
        <v>0</v>
      </c>
      <c r="O13" s="371"/>
    </row>
    <row r="14" spans="1:27" x14ac:dyDescent="0.2">
      <c r="A14" s="364" t="s">
        <v>439</v>
      </c>
      <c r="B14" s="634"/>
      <c r="C14" s="370" t="s">
        <v>33</v>
      </c>
      <c r="D14" s="360">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0">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0">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0">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0">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1"/>
      <c r="J14" s="360">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0">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0">
        <v>0</v>
      </c>
      <c r="M14" s="360">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2">
        <f t="shared" si="0"/>
        <v>0</v>
      </c>
      <c r="O14" s="371"/>
    </row>
    <row r="15" spans="1:27" x14ac:dyDescent="0.2">
      <c r="A15" s="372" t="s">
        <v>217</v>
      </c>
      <c r="B15" s="373"/>
      <c r="C15" s="370" t="s">
        <v>35</v>
      </c>
      <c r="D15" s="360">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0">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0">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22573</v>
      </c>
      <c r="G15" s="360">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0">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1"/>
      <c r="J15" s="360">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0">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0">
        <v>0</v>
      </c>
      <c r="M15" s="360">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2">
        <f t="shared" si="0"/>
        <v>22573</v>
      </c>
      <c r="O15" s="371"/>
    </row>
    <row r="16" spans="1:27" x14ac:dyDescent="0.2">
      <c r="A16" s="372" t="s">
        <v>440</v>
      </c>
      <c r="B16" s="373"/>
      <c r="C16" s="370" t="s">
        <v>37</v>
      </c>
      <c r="D16" s="360">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0">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0">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0">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0">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1"/>
      <c r="J16" s="360">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0">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0">
        <v>0</v>
      </c>
      <c r="M16" s="360">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2">
        <f t="shared" si="0"/>
        <v>0</v>
      </c>
      <c r="O16" s="371"/>
    </row>
    <row r="17" spans="1:16" x14ac:dyDescent="0.2">
      <c r="A17" s="372" t="s">
        <v>441</v>
      </c>
      <c r="B17" s="373"/>
      <c r="C17" s="370" t="s">
        <v>39</v>
      </c>
      <c r="D17" s="360">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0">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0">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0">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0">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1"/>
      <c r="J17" s="360">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0">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0">
        <v>0</v>
      </c>
      <c r="M17" s="360">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2">
        <f t="shared" si="0"/>
        <v>0</v>
      </c>
      <c r="O17" s="371"/>
    </row>
    <row r="18" spans="1:16" x14ac:dyDescent="0.2">
      <c r="A18" s="374" t="s">
        <v>97</v>
      </c>
      <c r="B18" s="375"/>
      <c r="C18" s="376" t="s">
        <v>41</v>
      </c>
      <c r="D18" s="360">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60">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0">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0">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0">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61"/>
      <c r="J18" s="360">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0">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0">
        <v>0</v>
      </c>
      <c r="M18" s="360">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2">
        <f t="shared" si="0"/>
        <v>0</v>
      </c>
      <c r="O18" s="371"/>
    </row>
    <row r="19" spans="1:16" x14ac:dyDescent="0.2">
      <c r="A19" s="377" t="s">
        <v>442</v>
      </c>
      <c r="B19" s="378"/>
      <c r="C19" s="379" t="s">
        <v>43</v>
      </c>
      <c r="D19" s="380">
        <f>SUM(D10:D18)</f>
        <v>297502</v>
      </c>
      <c r="E19" s="380">
        <f t="shared" ref="E19:M19" si="1">SUM(E10:E18)</f>
        <v>89461</v>
      </c>
      <c r="F19" s="380">
        <f t="shared" si="1"/>
        <v>48133</v>
      </c>
      <c r="G19" s="380">
        <f t="shared" si="1"/>
        <v>66721</v>
      </c>
      <c r="H19" s="380">
        <f t="shared" si="1"/>
        <v>0</v>
      </c>
      <c r="I19" s="380">
        <f t="shared" si="1"/>
        <v>0</v>
      </c>
      <c r="J19" s="380">
        <f t="shared" si="1"/>
        <v>0</v>
      </c>
      <c r="K19" s="380">
        <f t="shared" si="1"/>
        <v>0</v>
      </c>
      <c r="L19" s="380">
        <f t="shared" si="1"/>
        <v>0</v>
      </c>
      <c r="M19" s="380">
        <f t="shared" si="1"/>
        <v>0</v>
      </c>
      <c r="N19" s="362">
        <f t="shared" si="0"/>
        <v>501817</v>
      </c>
      <c r="O19" s="371"/>
    </row>
    <row r="20" spans="1:16" x14ac:dyDescent="0.2">
      <c r="H20" s="331"/>
      <c r="I20" s="331"/>
      <c r="J20" s="331"/>
      <c r="K20" s="331"/>
      <c r="L20" s="381"/>
    </row>
    <row r="21" spans="1:16" ht="34.5" customHeight="1" x14ac:dyDescent="0.2">
      <c r="A21" s="836" t="s">
        <v>443</v>
      </c>
      <c r="B21" s="837"/>
      <c r="C21" s="838"/>
      <c r="D21" s="684" t="s">
        <v>444</v>
      </c>
      <c r="E21" s="31" t="s">
        <v>445</v>
      </c>
      <c r="G21" s="382" t="s">
        <v>446</v>
      </c>
      <c r="H21" s="383"/>
      <c r="I21" s="383"/>
      <c r="J21" s="384"/>
      <c r="L21" s="385" t="s">
        <v>447</v>
      </c>
      <c r="M21" s="386"/>
      <c r="N21" s="386"/>
      <c r="O21" s="387"/>
    </row>
    <row r="22" spans="1:16" x14ac:dyDescent="0.2">
      <c r="A22" s="388" t="s">
        <v>448</v>
      </c>
      <c r="B22" s="389"/>
      <c r="C22" s="390"/>
      <c r="D22" s="32">
        <v>0</v>
      </c>
      <c r="E22" s="33">
        <v>0</v>
      </c>
      <c r="G22" s="391" t="s">
        <v>449</v>
      </c>
      <c r="H22" s="392"/>
      <c r="I22" s="393"/>
      <c r="J22" s="32">
        <v>0</v>
      </c>
      <c r="L22" s="391" t="s">
        <v>450</v>
      </c>
      <c r="M22" s="392"/>
      <c r="N22" s="393"/>
      <c r="O22" s="34">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114063</v>
      </c>
    </row>
    <row r="23" spans="1:16" x14ac:dyDescent="0.2">
      <c r="A23" s="391" t="s">
        <v>451</v>
      </c>
      <c r="B23" s="392"/>
      <c r="C23" s="393"/>
      <c r="D23" s="32">
        <v>0</v>
      </c>
      <c r="E23" s="43">
        <v>0</v>
      </c>
      <c r="G23" s="394" t="s">
        <v>452</v>
      </c>
      <c r="H23" s="395"/>
      <c r="I23" s="393"/>
      <c r="J23" s="32">
        <v>0</v>
      </c>
    </row>
    <row r="24" spans="1:16" x14ac:dyDescent="0.2">
      <c r="A24" s="391" t="s">
        <v>453</v>
      </c>
      <c r="B24" s="392"/>
      <c r="C24" s="396"/>
      <c r="D24" s="32">
        <v>0</v>
      </c>
      <c r="E24" s="591">
        <v>0</v>
      </c>
      <c r="G24" s="632" t="s">
        <v>454</v>
      </c>
      <c r="H24" s="633"/>
      <c r="I24" s="393"/>
      <c r="J24" s="32">
        <v>0</v>
      </c>
      <c r="L24" s="382" t="s">
        <v>455</v>
      </c>
      <c r="M24" s="383"/>
      <c r="N24" s="383"/>
      <c r="O24" s="384"/>
    </row>
    <row r="25" spans="1:16" x14ac:dyDescent="0.2">
      <c r="A25" s="391" t="s">
        <v>456</v>
      </c>
      <c r="B25" s="392"/>
      <c r="C25" s="396"/>
      <c r="D25" s="32">
        <v>0</v>
      </c>
      <c r="E25" s="591">
        <v>0</v>
      </c>
      <c r="G25" s="632" t="s">
        <v>457</v>
      </c>
      <c r="H25" s="633"/>
      <c r="I25" s="393"/>
      <c r="J25" s="32">
        <v>0</v>
      </c>
      <c r="L25" s="398" t="s">
        <v>458</v>
      </c>
      <c r="M25" s="399"/>
      <c r="N25" s="396"/>
      <c r="O25" s="32">
        <v>0</v>
      </c>
    </row>
    <row r="26" spans="1:16" x14ac:dyDescent="0.2">
      <c r="A26" s="391" t="s">
        <v>459</v>
      </c>
      <c r="B26" s="392"/>
      <c r="C26" s="396"/>
      <c r="D26" s="32">
        <v>0</v>
      </c>
      <c r="E26" s="591">
        <v>0</v>
      </c>
      <c r="G26" s="632" t="s">
        <v>460</v>
      </c>
      <c r="H26" s="633"/>
      <c r="I26" s="393"/>
      <c r="J26" s="32">
        <v>0</v>
      </c>
      <c r="L26" s="398" t="s">
        <v>461</v>
      </c>
      <c r="M26" s="399"/>
      <c r="N26" s="396"/>
      <c r="O26" s="32">
        <v>0</v>
      </c>
    </row>
    <row r="27" spans="1:16" x14ac:dyDescent="0.2">
      <c r="A27" s="400" t="s">
        <v>462</v>
      </c>
      <c r="B27" s="401"/>
      <c r="C27" s="402"/>
      <c r="D27" s="32">
        <v>0</v>
      </c>
      <c r="E27" s="33">
        <v>0</v>
      </c>
      <c r="L27" s="398" t="s">
        <v>463</v>
      </c>
      <c r="M27" s="399"/>
      <c r="N27" s="396"/>
      <c r="O27" s="32">
        <v>0</v>
      </c>
    </row>
    <row r="28" spans="1:16" x14ac:dyDescent="0.2">
      <c r="A28" s="403" t="s">
        <v>464</v>
      </c>
      <c r="B28" s="404"/>
      <c r="C28" s="405"/>
      <c r="D28" s="35">
        <v>0</v>
      </c>
      <c r="E28" s="397">
        <v>0</v>
      </c>
      <c r="L28" s="332"/>
      <c r="M28" s="332"/>
      <c r="N28" s="332"/>
      <c r="O28" s="36"/>
    </row>
    <row r="29" spans="1:16" x14ac:dyDescent="0.2">
      <c r="A29" s="839"/>
      <c r="B29" s="839"/>
      <c r="C29" s="839"/>
      <c r="D29" s="406"/>
    </row>
    <row r="30" spans="1:16" ht="15" customHeight="1" x14ac:dyDescent="0.2">
      <c r="A30" s="341"/>
      <c r="B30" s="341"/>
      <c r="C30" s="341"/>
      <c r="D30" s="341"/>
      <c r="G30" s="382" t="s">
        <v>465</v>
      </c>
      <c r="H30" s="383"/>
      <c r="I30" s="383"/>
      <c r="J30" s="384"/>
      <c r="L30" s="830" t="str">
        <f>IF(OR(D19&lt;0,E19&lt;0,F19&lt;0,G19&lt;0,H19&lt;0,J19&lt;0,K19&lt;0,L19&lt;0,M19&lt;0,N19&lt;0),"Line 9 in the current expenses table should not contain negative amounts. Click the instruction link in cell A18 for more information.","")</f>
        <v/>
      </c>
      <c r="M30" s="830" t="str">
        <f t="shared" ref="M30:P32" si="2">IF(OR(E19&lt;0,F19&lt;0,G19&lt;0,H19&lt;0,I19&lt;0,K19&lt;0,L19&lt;0,M19&lt;0,N19&lt;0,O19&lt;0),"Table A, line 9 should not contain negative amounts. Click the the instruction link in cell A18 for more information.","")</f>
        <v/>
      </c>
      <c r="N30" s="830" t="str">
        <f t="shared" si="2"/>
        <v/>
      </c>
      <c r="O30" s="830" t="str">
        <f t="shared" si="2"/>
        <v/>
      </c>
      <c r="P30" s="830" t="str">
        <f t="shared" si="2"/>
        <v/>
      </c>
    </row>
    <row r="31" spans="1:16" ht="15" customHeight="1" x14ac:dyDescent="0.2">
      <c r="E31" s="407"/>
      <c r="G31" s="408" t="s">
        <v>466</v>
      </c>
      <c r="H31" s="392"/>
      <c r="I31" s="392"/>
      <c r="J31" s="409">
        <f>ROUND(SUMIFS('Accounting data'!G2:G65536,'Accounting data'!H2:H65536,"1310-1399-C*",'Accounting data'!K2:K65536,"685*"),0)</f>
        <v>0</v>
      </c>
      <c r="L31" s="830" t="str">
        <f>IF(OR(D20&lt;0,E20&lt;0,F20&lt;0,G20&lt;0,H20&lt;0,J20&lt;0,K20&lt;0,L20&lt;0,M20&lt;0,N20&lt;0),"Table A, line 9 should not contain negative amounts. Click the the instruction link in cell A18 for more information.","")</f>
        <v/>
      </c>
      <c r="M31" s="830" t="str">
        <f t="shared" si="2"/>
        <v/>
      </c>
      <c r="N31" s="830" t="str">
        <f t="shared" si="2"/>
        <v/>
      </c>
      <c r="O31" s="830" t="str">
        <f t="shared" si="2"/>
        <v/>
      </c>
      <c r="P31" s="830" t="str">
        <f t="shared" si="2"/>
        <v/>
      </c>
    </row>
    <row r="32" spans="1:16" ht="15" customHeight="1" x14ac:dyDescent="0.2">
      <c r="E32" s="363"/>
      <c r="G32" s="408" t="s">
        <v>467</v>
      </c>
      <c r="H32" s="392"/>
      <c r="I32" s="392"/>
      <c r="J32" s="32">
        <v>0</v>
      </c>
      <c r="L32" s="830" t="str">
        <f>IF(OR(D21&lt;0,E21&lt;0,F21&lt;0,G21&lt;0,H21&lt;0,J21&lt;0,K21&lt;0,L21&lt;0,M21&lt;0,N21&lt;0),"Table A, line 9 should not contain negative amounts. Click the the instruction link in cell A18 for more information.","")</f>
        <v/>
      </c>
      <c r="M32" s="830" t="str">
        <f t="shared" si="2"/>
        <v/>
      </c>
      <c r="N32" s="830" t="str">
        <f t="shared" si="2"/>
        <v/>
      </c>
      <c r="O32" s="830" t="str">
        <f t="shared" si="2"/>
        <v/>
      </c>
      <c r="P32" s="830" t="str">
        <f t="shared" si="2"/>
        <v/>
      </c>
    </row>
    <row r="33" spans="1:49" ht="12.75" customHeight="1" x14ac:dyDescent="0.2">
      <c r="E33" s="410"/>
      <c r="K33" s="411"/>
      <c r="L33" s="37"/>
      <c r="M33" s="37"/>
      <c r="N33" s="38"/>
      <c r="O33" s="37"/>
      <c r="AB33" s="338" t="s">
        <v>468</v>
      </c>
    </row>
    <row r="34" spans="1:49" ht="11.25" customHeight="1" x14ac:dyDescent="0.2">
      <c r="E34" s="412"/>
      <c r="G34" s="332"/>
      <c r="M34" s="413"/>
      <c r="N34" s="414"/>
      <c r="O34" s="414"/>
    </row>
    <row r="35" spans="1:49" ht="37.5" customHeight="1" x14ac:dyDescent="0.2">
      <c r="A35" s="843" t="s">
        <v>469</v>
      </c>
      <c r="B35" s="844"/>
      <c r="C35" s="845"/>
      <c r="D35" s="816" t="s">
        <v>470</v>
      </c>
      <c r="E35" s="816" t="s">
        <v>1196</v>
      </c>
      <c r="F35" s="816" t="s">
        <v>1197</v>
      </c>
      <c r="G35" s="816" t="s">
        <v>471</v>
      </c>
      <c r="J35" s="382" t="s">
        <v>472</v>
      </c>
      <c r="K35" s="55"/>
      <c r="L35" s="55"/>
      <c r="M35" s="55"/>
      <c r="N35" s="56"/>
      <c r="R35" s="331"/>
      <c r="V35" s="337"/>
      <c r="AD35" s="338"/>
      <c r="AJ35" s="339"/>
      <c r="AW35" s="337"/>
    </row>
    <row r="36" spans="1:49" ht="25.5" customHeight="1" x14ac:dyDescent="0.2">
      <c r="A36" s="846"/>
      <c r="B36" s="847"/>
      <c r="C36" s="848"/>
      <c r="D36" s="817"/>
      <c r="E36" s="817"/>
      <c r="F36" s="817"/>
      <c r="G36" s="817"/>
      <c r="J36" s="849" t="s">
        <v>473</v>
      </c>
      <c r="K36" s="850"/>
      <c r="L36" s="850"/>
      <c r="M36" s="851"/>
      <c r="N36" s="419">
        <v>0</v>
      </c>
      <c r="Q36" s="39"/>
      <c r="R36" s="40"/>
      <c r="V36" s="337"/>
      <c r="AD36" s="338"/>
      <c r="AJ36" s="339"/>
      <c r="AW36" s="337"/>
    </row>
    <row r="37" spans="1:49" ht="12.75" customHeight="1" x14ac:dyDescent="0.2">
      <c r="A37" s="41" t="s">
        <v>474</v>
      </c>
      <c r="B37" s="42"/>
      <c r="C37" s="42"/>
      <c r="D37" s="43">
        <v>106610</v>
      </c>
      <c r="E37" s="43">
        <v>106610</v>
      </c>
      <c r="F37" s="361"/>
      <c r="G37" s="361"/>
      <c r="J37" s="849" t="s">
        <v>475</v>
      </c>
      <c r="K37" s="850"/>
      <c r="L37" s="850"/>
      <c r="M37" s="851"/>
      <c r="N37" s="419">
        <v>0</v>
      </c>
      <c r="R37" s="331"/>
      <c r="V37" s="337"/>
      <c r="AD37" s="338"/>
      <c r="AJ37" s="339"/>
      <c r="AW37" s="337"/>
    </row>
    <row r="38" spans="1:49" ht="12.75" customHeight="1" x14ac:dyDescent="0.2">
      <c r="A38" s="41" t="s">
        <v>476</v>
      </c>
      <c r="B38" s="42"/>
      <c r="C38" s="42"/>
      <c r="D38" s="43">
        <v>442029</v>
      </c>
      <c r="E38" s="43">
        <v>374445</v>
      </c>
      <c r="F38" s="43">
        <v>67584</v>
      </c>
      <c r="G38" s="380">
        <f>ROUND(D38-E38-F38,0)</f>
        <v>0</v>
      </c>
      <c r="J38" s="849" t="s">
        <v>477</v>
      </c>
      <c r="K38" s="850"/>
      <c r="L38" s="850"/>
      <c r="M38" s="851"/>
      <c r="N38" s="419">
        <v>0</v>
      </c>
      <c r="R38" s="331"/>
      <c r="V38" s="337"/>
      <c r="AD38" s="338"/>
      <c r="AJ38" s="339"/>
      <c r="AW38" s="337"/>
    </row>
    <row r="39" spans="1:49" ht="12.75" customHeight="1" x14ac:dyDescent="0.2">
      <c r="A39" s="41" t="s">
        <v>478</v>
      </c>
      <c r="B39" s="42"/>
      <c r="C39" s="42"/>
      <c r="D39" s="43">
        <v>998597</v>
      </c>
      <c r="E39" s="43">
        <v>498818</v>
      </c>
      <c r="F39" s="43">
        <v>499779</v>
      </c>
      <c r="G39" s="380">
        <f>ROUND(D39-E39-F39,0)</f>
        <v>0</v>
      </c>
      <c r="J39" s="840" t="s">
        <v>479</v>
      </c>
      <c r="K39" s="841"/>
      <c r="L39" s="841"/>
      <c r="M39" s="842"/>
      <c r="N39" s="420">
        <v>0</v>
      </c>
      <c r="R39" s="331"/>
      <c r="V39" s="337"/>
      <c r="AD39" s="338"/>
      <c r="AJ39" s="339"/>
      <c r="AW39" s="337"/>
    </row>
    <row r="40" spans="1:49" ht="12.75" customHeight="1" x14ac:dyDescent="0.2">
      <c r="A40" s="41" t="s">
        <v>480</v>
      </c>
      <c r="B40" s="42"/>
      <c r="C40" s="42"/>
      <c r="D40" s="43">
        <v>0</v>
      </c>
      <c r="E40" s="43">
        <v>0</v>
      </c>
      <c r="F40" s="43">
        <v>0</v>
      </c>
      <c r="G40" s="380">
        <f>ROUND(D40-E40-F40,0)</f>
        <v>0</v>
      </c>
      <c r="J40" s="840" t="s">
        <v>481</v>
      </c>
      <c r="K40" s="841"/>
      <c r="L40" s="841"/>
      <c r="M40" s="842"/>
      <c r="N40" s="421">
        <f>ROUND(N36-N37-N39,0)</f>
        <v>0</v>
      </c>
      <c r="R40" s="331"/>
      <c r="V40" s="337"/>
      <c r="AD40" s="338"/>
      <c r="AJ40" s="339"/>
      <c r="AW40" s="337"/>
    </row>
    <row r="41" spans="1:49" ht="12.75" customHeight="1" x14ac:dyDescent="0.2">
      <c r="A41" s="41" t="s">
        <v>482</v>
      </c>
      <c r="B41" s="42"/>
      <c r="C41" s="42"/>
      <c r="D41" s="43">
        <v>128333</v>
      </c>
      <c r="E41" s="43">
        <v>128333</v>
      </c>
      <c r="F41" s="43">
        <v>0</v>
      </c>
      <c r="G41" s="380">
        <f>ROUND(D41-E41-F41,0)</f>
        <v>0</v>
      </c>
    </row>
    <row r="42" spans="1:49" ht="12.75" customHeight="1" x14ac:dyDescent="0.2">
      <c r="A42" s="44" t="s">
        <v>483</v>
      </c>
      <c r="B42" s="42"/>
      <c r="C42" s="42"/>
      <c r="D42" s="43">
        <f>144245+16880+43380+138+5000</f>
        <v>209643</v>
      </c>
      <c r="E42" s="43">
        <v>161126</v>
      </c>
      <c r="F42" s="43">
        <v>48517</v>
      </c>
      <c r="G42" s="380">
        <f>ROUND(D42-E42-F42,0)</f>
        <v>0</v>
      </c>
    </row>
    <row r="43" spans="1:49" ht="12.75" customHeight="1" x14ac:dyDescent="0.2">
      <c r="A43" s="831" t="s">
        <v>484</v>
      </c>
      <c r="B43" s="832"/>
      <c r="C43" s="833"/>
      <c r="D43" s="415">
        <f>ROUND(SUM(D37:D42),0)</f>
        <v>1885212</v>
      </c>
      <c r="E43" s="415">
        <f>ROUND(SUM(E37:E42),0)</f>
        <v>1269332</v>
      </c>
      <c r="F43" s="415">
        <f>ROUND(SUM(F37:F42),0)</f>
        <v>615880</v>
      </c>
      <c r="G43" s="415">
        <f>ROUND(SUM(G37:G42),0)</f>
        <v>0</v>
      </c>
    </row>
    <row r="44" spans="1:49" x14ac:dyDescent="0.2">
      <c r="F44" s="416"/>
    </row>
    <row r="45" spans="1:49" x14ac:dyDescent="0.2">
      <c r="E45" s="683" t="s">
        <v>1195</v>
      </c>
      <c r="F45" s="45">
        <f>ROUND(N19+O22+O25+O26+O27+J31+J32,0)</f>
        <v>615880</v>
      </c>
      <c r="H45" s="834" t="str">
        <f>IF(OR(G37&lt;0,G38&lt;0,G39&lt;0,G40&lt;0,G41&lt;0,G42&lt;0,G43&lt;0),"Column G should not contain negative amounts. Click the instruction link in cell G36 for more information.","")</f>
        <v/>
      </c>
      <c r="I45" s="835"/>
      <c r="J45" s="835"/>
      <c r="K45" s="835"/>
    </row>
    <row r="46" spans="1:49" ht="12.75" customHeight="1" x14ac:dyDescent="0.2">
      <c r="A46" s="417"/>
      <c r="B46" s="417"/>
      <c r="C46" s="418"/>
      <c r="F46" s="834" t="str">
        <f>IF(F45&lt;&gt;F43,"Total in cell F43 should agree to amount in cell F45","")</f>
        <v/>
      </c>
      <c r="G46" s="834"/>
      <c r="H46" s="835"/>
      <c r="I46" s="835"/>
      <c r="J46" s="835"/>
      <c r="K46" s="835"/>
    </row>
    <row r="47" spans="1:49" ht="12.75" customHeight="1" x14ac:dyDescent="0.2">
      <c r="A47" s="417"/>
      <c r="B47" s="417"/>
      <c r="C47" s="418"/>
      <c r="F47" s="834"/>
      <c r="G47" s="834"/>
      <c r="H47" s="835"/>
      <c r="I47" s="835"/>
      <c r="J47" s="835"/>
      <c r="K47" s="835"/>
    </row>
    <row r="48" spans="1:49" ht="12.75" customHeight="1" x14ac:dyDescent="0.2">
      <c r="A48" s="418"/>
      <c r="B48" s="418"/>
      <c r="C48" s="418"/>
      <c r="F48" s="834"/>
      <c r="G48" s="834"/>
      <c r="H48" s="835"/>
      <c r="I48" s="835"/>
      <c r="J48" s="835"/>
      <c r="K48" s="835"/>
    </row>
    <row r="49" spans="1:7" ht="12.75" customHeight="1" x14ac:dyDescent="0.2">
      <c r="A49" s="418"/>
      <c r="B49" s="418"/>
      <c r="C49" s="418"/>
      <c r="F49" s="834"/>
      <c r="G49" s="834"/>
    </row>
  </sheetData>
  <mergeCells count="22">
    <mergeCell ref="A43:C43"/>
    <mergeCell ref="H45:K48"/>
    <mergeCell ref="F46:G49"/>
    <mergeCell ref="A21:C21"/>
    <mergeCell ref="A29:C29"/>
    <mergeCell ref="J40:M40"/>
    <mergeCell ref="A35:C36"/>
    <mergeCell ref="J36:M36"/>
    <mergeCell ref="J37:M37"/>
    <mergeCell ref="J38:M38"/>
    <mergeCell ref="J39:M39"/>
    <mergeCell ref="A5:A6"/>
    <mergeCell ref="D5:L5"/>
    <mergeCell ref="N5:N9"/>
    <mergeCell ref="A8:C9"/>
    <mergeCell ref="L30:P32"/>
    <mergeCell ref="B1:E1"/>
    <mergeCell ref="H1:I1"/>
    <mergeCell ref="D35:D36"/>
    <mergeCell ref="E35:E36"/>
    <mergeCell ref="F35:F36"/>
    <mergeCell ref="G35:G36"/>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BQH262168:BQH262170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L10:L18"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J35" sqref="J35"/>
    </sheetView>
  </sheetViews>
  <sheetFormatPr defaultColWidth="9.33203125" defaultRowHeight="12.75" x14ac:dyDescent="0.2"/>
  <cols>
    <col min="1" max="1" width="38.1640625" style="423" customWidth="1"/>
    <col min="2" max="3" width="16.33203125" style="423" customWidth="1"/>
    <col min="4" max="4" width="15.1640625" style="423" customWidth="1"/>
    <col min="5" max="5" width="15.6640625" style="423" customWidth="1"/>
    <col min="6" max="6" width="15.1640625" style="423" customWidth="1"/>
    <col min="7" max="7" width="16.33203125" style="423" customWidth="1"/>
    <col min="8" max="8" width="19.33203125" style="423" customWidth="1"/>
    <col min="9" max="10" width="15.6640625" style="423" customWidth="1"/>
    <col min="11" max="11" width="17" style="423" customWidth="1"/>
    <col min="12" max="12" width="8.83203125" style="423" customWidth="1"/>
    <col min="13" max="13" width="5.33203125" style="423" customWidth="1"/>
    <col min="14" max="14" width="12.33203125" style="423" customWidth="1"/>
    <col min="15" max="255" width="8.83203125" style="423" customWidth="1"/>
    <col min="256" max="256" width="32.33203125" style="423" bestFit="1" customWidth="1"/>
    <col min="257" max="257" width="22.1640625" style="423" customWidth="1"/>
    <col min="258" max="258" width="14.33203125" style="423" customWidth="1"/>
    <col min="259" max="259" width="19" style="423" customWidth="1"/>
    <col min="260" max="260" width="8.83203125" style="423" customWidth="1"/>
    <col min="261" max="261" width="11.33203125" style="423" customWidth="1"/>
    <col min="262" max="262" width="8.83203125" style="423" customWidth="1"/>
    <col min="263" max="263" width="6.33203125" style="423" customWidth="1"/>
    <col min="264" max="264" width="14.33203125" style="423" customWidth="1"/>
    <col min="265" max="268" width="8.83203125" style="423" customWidth="1"/>
    <col min="269" max="269" width="17.83203125" style="423" customWidth="1"/>
    <col min="270" max="511" width="8.83203125" style="423" customWidth="1"/>
    <col min="512" max="512" width="32.33203125" style="423" bestFit="1" customWidth="1"/>
    <col min="513" max="513" width="22.1640625" style="423" customWidth="1"/>
    <col min="514" max="514" width="14.33203125" style="423" customWidth="1"/>
    <col min="515" max="515" width="19" style="423" customWidth="1"/>
    <col min="516" max="516" width="8.83203125" style="423" customWidth="1"/>
    <col min="517" max="517" width="11.33203125" style="423" customWidth="1"/>
    <col min="518" max="518" width="8.83203125" style="423" customWidth="1"/>
    <col min="519" max="519" width="6.33203125" style="423" customWidth="1"/>
    <col min="520" max="520" width="14.33203125" style="423" customWidth="1"/>
    <col min="521" max="524" width="8.83203125" style="423" customWidth="1"/>
    <col min="525" max="525" width="17.83203125" style="423" customWidth="1"/>
    <col min="526" max="767" width="8.83203125" style="423" customWidth="1"/>
    <col min="768" max="768" width="32.33203125" style="423" bestFit="1" customWidth="1"/>
    <col min="769" max="769" width="22.1640625" style="423" customWidth="1"/>
    <col min="770" max="770" width="14.33203125" style="423" customWidth="1"/>
    <col min="771" max="771" width="19" style="423" customWidth="1"/>
    <col min="772" max="772" width="8.83203125" style="423" customWidth="1"/>
    <col min="773" max="773" width="11.33203125" style="423" customWidth="1"/>
    <col min="774" max="774" width="8.83203125" style="423" customWidth="1"/>
    <col min="775" max="775" width="6.33203125" style="423" customWidth="1"/>
    <col min="776" max="776" width="14.33203125" style="423" customWidth="1"/>
    <col min="777" max="780" width="8.83203125" style="423" customWidth="1"/>
    <col min="781" max="781" width="17.83203125" style="423" customWidth="1"/>
    <col min="782" max="1023" width="8.83203125" style="423" customWidth="1"/>
    <col min="1024" max="1024" width="32.33203125" style="423" bestFit="1" customWidth="1"/>
    <col min="1025" max="1025" width="22.1640625" style="423" customWidth="1"/>
    <col min="1026" max="1026" width="14.33203125" style="423" customWidth="1"/>
    <col min="1027" max="1027" width="19" style="423" customWidth="1"/>
    <col min="1028" max="1028" width="8.83203125" style="423" customWidth="1"/>
    <col min="1029" max="1029" width="11.33203125" style="423" customWidth="1"/>
    <col min="1030" max="1030" width="8.83203125" style="423" customWidth="1"/>
    <col min="1031" max="1031" width="6.33203125" style="423" customWidth="1"/>
    <col min="1032" max="1032" width="14.33203125" style="423" customWidth="1"/>
    <col min="1033" max="1036" width="8.83203125" style="423" customWidth="1"/>
    <col min="1037" max="1037" width="17.83203125" style="423" customWidth="1"/>
    <col min="1038" max="1279" width="8.83203125" style="423" customWidth="1"/>
    <col min="1280" max="1280" width="32.33203125" style="423" bestFit="1" customWidth="1"/>
    <col min="1281" max="1281" width="22.1640625" style="423" customWidth="1"/>
    <col min="1282" max="1282" width="14.33203125" style="423" customWidth="1"/>
    <col min="1283" max="1283" width="19" style="423" customWidth="1"/>
    <col min="1284" max="1284" width="8.83203125" style="423" customWidth="1"/>
    <col min="1285" max="1285" width="11.33203125" style="423" customWidth="1"/>
    <col min="1286" max="1286" width="8.83203125" style="423" customWidth="1"/>
    <col min="1287" max="1287" width="6.33203125" style="423" customWidth="1"/>
    <col min="1288" max="1288" width="14.33203125" style="423" customWidth="1"/>
    <col min="1289" max="1292" width="8.83203125" style="423" customWidth="1"/>
    <col min="1293" max="1293" width="17.83203125" style="423" customWidth="1"/>
    <col min="1294" max="1535" width="8.83203125" style="423" customWidth="1"/>
    <col min="1536" max="1536" width="32.33203125" style="423" bestFit="1" customWidth="1"/>
    <col min="1537" max="1537" width="22.1640625" style="423" customWidth="1"/>
    <col min="1538" max="1538" width="14.33203125" style="423" customWidth="1"/>
    <col min="1539" max="1539" width="19" style="423" customWidth="1"/>
    <col min="1540" max="1540" width="8.83203125" style="423" customWidth="1"/>
    <col min="1541" max="1541" width="11.33203125" style="423" customWidth="1"/>
    <col min="1542" max="1542" width="8.83203125" style="423" customWidth="1"/>
    <col min="1543" max="1543" width="6.33203125" style="423" customWidth="1"/>
    <col min="1544" max="1544" width="14.33203125" style="423" customWidth="1"/>
    <col min="1545" max="1548" width="8.83203125" style="423" customWidth="1"/>
    <col min="1549" max="1549" width="17.83203125" style="423" customWidth="1"/>
    <col min="1550" max="1791" width="8.83203125" style="423" customWidth="1"/>
    <col min="1792" max="1792" width="32.33203125" style="423" bestFit="1" customWidth="1"/>
    <col min="1793" max="1793" width="22.1640625" style="423" customWidth="1"/>
    <col min="1794" max="1794" width="14.33203125" style="423" customWidth="1"/>
    <col min="1795" max="1795" width="19" style="423" customWidth="1"/>
    <col min="1796" max="1796" width="8.83203125" style="423" customWidth="1"/>
    <col min="1797" max="1797" width="11.33203125" style="423" customWidth="1"/>
    <col min="1798" max="1798" width="8.83203125" style="423" customWidth="1"/>
    <col min="1799" max="1799" width="6.33203125" style="423" customWidth="1"/>
    <col min="1800" max="1800" width="14.33203125" style="423" customWidth="1"/>
    <col min="1801" max="1804" width="8.83203125" style="423" customWidth="1"/>
    <col min="1805" max="1805" width="17.83203125" style="423" customWidth="1"/>
    <col min="1806" max="2047" width="8.83203125" style="423" customWidth="1"/>
    <col min="2048" max="2048" width="32.33203125" style="423" bestFit="1" customWidth="1"/>
    <col min="2049" max="2049" width="22.1640625" style="423" customWidth="1"/>
    <col min="2050" max="2050" width="14.33203125" style="423" customWidth="1"/>
    <col min="2051" max="2051" width="19" style="423" customWidth="1"/>
    <col min="2052" max="2052" width="8.83203125" style="423" customWidth="1"/>
    <col min="2053" max="2053" width="11.33203125" style="423" customWidth="1"/>
    <col min="2054" max="2054" width="8.83203125" style="423" customWidth="1"/>
    <col min="2055" max="2055" width="6.33203125" style="423" customWidth="1"/>
    <col min="2056" max="2056" width="14.33203125" style="423" customWidth="1"/>
    <col min="2057" max="2060" width="8.83203125" style="423" customWidth="1"/>
    <col min="2061" max="2061" width="17.83203125" style="423" customWidth="1"/>
    <col min="2062" max="2303" width="8.83203125" style="423" customWidth="1"/>
    <col min="2304" max="2304" width="32.33203125" style="423" bestFit="1" customWidth="1"/>
    <col min="2305" max="2305" width="22.1640625" style="423" customWidth="1"/>
    <col min="2306" max="2306" width="14.33203125" style="423" customWidth="1"/>
    <col min="2307" max="2307" width="19" style="423" customWidth="1"/>
    <col min="2308" max="2308" width="8.83203125" style="423" customWidth="1"/>
    <col min="2309" max="2309" width="11.33203125" style="423" customWidth="1"/>
    <col min="2310" max="2310" width="8.83203125" style="423" customWidth="1"/>
    <col min="2311" max="2311" width="6.33203125" style="423" customWidth="1"/>
    <col min="2312" max="2312" width="14.33203125" style="423" customWidth="1"/>
    <col min="2313" max="2316" width="8.83203125" style="423" customWidth="1"/>
    <col min="2317" max="2317" width="17.83203125" style="423" customWidth="1"/>
    <col min="2318" max="2559" width="8.83203125" style="423" customWidth="1"/>
    <col min="2560" max="2560" width="32.33203125" style="423" bestFit="1" customWidth="1"/>
    <col min="2561" max="2561" width="22.1640625" style="423" customWidth="1"/>
    <col min="2562" max="2562" width="14.33203125" style="423" customWidth="1"/>
    <col min="2563" max="2563" width="19" style="423" customWidth="1"/>
    <col min="2564" max="2564" width="8.83203125" style="423" customWidth="1"/>
    <col min="2565" max="2565" width="11.33203125" style="423" customWidth="1"/>
    <col min="2566" max="2566" width="8.83203125" style="423" customWidth="1"/>
    <col min="2567" max="2567" width="6.33203125" style="423" customWidth="1"/>
    <col min="2568" max="2568" width="14.33203125" style="423" customWidth="1"/>
    <col min="2569" max="2572" width="8.83203125" style="423" customWidth="1"/>
    <col min="2573" max="2573" width="17.83203125" style="423" customWidth="1"/>
    <col min="2574" max="2815" width="8.83203125" style="423" customWidth="1"/>
    <col min="2816" max="2816" width="32.33203125" style="423" bestFit="1" customWidth="1"/>
    <col min="2817" max="2817" width="22.1640625" style="423" customWidth="1"/>
    <col min="2818" max="2818" width="14.33203125" style="423" customWidth="1"/>
    <col min="2819" max="2819" width="19" style="423" customWidth="1"/>
    <col min="2820" max="2820" width="8.83203125" style="423" customWidth="1"/>
    <col min="2821" max="2821" width="11.33203125" style="423" customWidth="1"/>
    <col min="2822" max="2822" width="8.83203125" style="423" customWidth="1"/>
    <col min="2823" max="2823" width="6.33203125" style="423" customWidth="1"/>
    <col min="2824" max="2824" width="14.33203125" style="423" customWidth="1"/>
    <col min="2825" max="2828" width="8.83203125" style="423" customWidth="1"/>
    <col min="2829" max="2829" width="17.83203125" style="423" customWidth="1"/>
    <col min="2830" max="3071" width="8.83203125" style="423" customWidth="1"/>
    <col min="3072" max="3072" width="32.33203125" style="423" bestFit="1" customWidth="1"/>
    <col min="3073" max="3073" width="22.1640625" style="423" customWidth="1"/>
    <col min="3074" max="3074" width="14.33203125" style="423" customWidth="1"/>
    <col min="3075" max="3075" width="19" style="423" customWidth="1"/>
    <col min="3076" max="3076" width="8.83203125" style="423" customWidth="1"/>
    <col min="3077" max="3077" width="11.33203125" style="423" customWidth="1"/>
    <col min="3078" max="3078" width="8.83203125" style="423" customWidth="1"/>
    <col min="3079" max="3079" width="6.33203125" style="423" customWidth="1"/>
    <col min="3080" max="3080" width="14.33203125" style="423" customWidth="1"/>
    <col min="3081" max="3084" width="8.83203125" style="423" customWidth="1"/>
    <col min="3085" max="3085" width="17.83203125" style="423" customWidth="1"/>
    <col min="3086" max="3327" width="8.83203125" style="423" customWidth="1"/>
    <col min="3328" max="3328" width="32.33203125" style="423" bestFit="1" customWidth="1"/>
    <col min="3329" max="3329" width="22.1640625" style="423" customWidth="1"/>
    <col min="3330" max="3330" width="14.33203125" style="423" customWidth="1"/>
    <col min="3331" max="3331" width="19" style="423" customWidth="1"/>
    <col min="3332" max="3332" width="8.83203125" style="423" customWidth="1"/>
    <col min="3333" max="3333" width="11.33203125" style="423" customWidth="1"/>
    <col min="3334" max="3334" width="8.83203125" style="423" customWidth="1"/>
    <col min="3335" max="3335" width="6.33203125" style="423" customWidth="1"/>
    <col min="3336" max="3336" width="14.33203125" style="423" customWidth="1"/>
    <col min="3337" max="3340" width="8.83203125" style="423" customWidth="1"/>
    <col min="3341" max="3341" width="17.83203125" style="423" customWidth="1"/>
    <col min="3342" max="3583" width="8.83203125" style="423" customWidth="1"/>
    <col min="3584" max="3584" width="32.33203125" style="423" bestFit="1" customWidth="1"/>
    <col min="3585" max="3585" width="22.1640625" style="423" customWidth="1"/>
    <col min="3586" max="3586" width="14.33203125" style="423" customWidth="1"/>
    <col min="3587" max="3587" width="19" style="423" customWidth="1"/>
    <col min="3588" max="3588" width="8.83203125" style="423" customWidth="1"/>
    <col min="3589" max="3589" width="11.33203125" style="423" customWidth="1"/>
    <col min="3590" max="3590" width="8.83203125" style="423" customWidth="1"/>
    <col min="3591" max="3591" width="6.33203125" style="423" customWidth="1"/>
    <col min="3592" max="3592" width="14.33203125" style="423" customWidth="1"/>
    <col min="3593" max="3596" width="8.83203125" style="423" customWidth="1"/>
    <col min="3597" max="3597" width="17.83203125" style="423" customWidth="1"/>
    <col min="3598" max="3839" width="8.83203125" style="423" customWidth="1"/>
    <col min="3840" max="3840" width="32.33203125" style="423" bestFit="1" customWidth="1"/>
    <col min="3841" max="3841" width="22.1640625" style="423" customWidth="1"/>
    <col min="3842" max="3842" width="14.33203125" style="423" customWidth="1"/>
    <col min="3843" max="3843" width="19" style="423" customWidth="1"/>
    <col min="3844" max="3844" width="8.83203125" style="423" customWidth="1"/>
    <col min="3845" max="3845" width="11.33203125" style="423" customWidth="1"/>
    <col min="3846" max="3846" width="8.83203125" style="423" customWidth="1"/>
    <col min="3847" max="3847" width="6.33203125" style="423" customWidth="1"/>
    <col min="3848" max="3848" width="14.33203125" style="423" customWidth="1"/>
    <col min="3849" max="3852" width="8.83203125" style="423" customWidth="1"/>
    <col min="3853" max="3853" width="17.83203125" style="423" customWidth="1"/>
    <col min="3854" max="4095" width="8.83203125" style="423" customWidth="1"/>
    <col min="4096" max="4096" width="32.33203125" style="423" bestFit="1" customWidth="1"/>
    <col min="4097" max="4097" width="22.1640625" style="423" customWidth="1"/>
    <col min="4098" max="4098" width="14.33203125" style="423" customWidth="1"/>
    <col min="4099" max="4099" width="19" style="423" customWidth="1"/>
    <col min="4100" max="4100" width="8.83203125" style="423" customWidth="1"/>
    <col min="4101" max="4101" width="11.33203125" style="423" customWidth="1"/>
    <col min="4102" max="4102" width="8.83203125" style="423" customWidth="1"/>
    <col min="4103" max="4103" width="6.33203125" style="423" customWidth="1"/>
    <col min="4104" max="4104" width="14.33203125" style="423" customWidth="1"/>
    <col min="4105" max="4108" width="8.83203125" style="423" customWidth="1"/>
    <col min="4109" max="4109" width="17.83203125" style="423" customWidth="1"/>
    <col min="4110" max="4351" width="8.83203125" style="423" customWidth="1"/>
    <col min="4352" max="4352" width="32.33203125" style="423" bestFit="1" customWidth="1"/>
    <col min="4353" max="4353" width="22.1640625" style="423" customWidth="1"/>
    <col min="4354" max="4354" width="14.33203125" style="423" customWidth="1"/>
    <col min="4355" max="4355" width="19" style="423" customWidth="1"/>
    <col min="4356" max="4356" width="8.83203125" style="423" customWidth="1"/>
    <col min="4357" max="4357" width="11.33203125" style="423" customWidth="1"/>
    <col min="4358" max="4358" width="8.83203125" style="423" customWidth="1"/>
    <col min="4359" max="4359" width="6.33203125" style="423" customWidth="1"/>
    <col min="4360" max="4360" width="14.33203125" style="423" customWidth="1"/>
    <col min="4361" max="4364" width="8.83203125" style="423" customWidth="1"/>
    <col min="4365" max="4365" width="17.83203125" style="423" customWidth="1"/>
    <col min="4366" max="4607" width="8.83203125" style="423" customWidth="1"/>
    <col min="4608" max="4608" width="32.33203125" style="423" bestFit="1" customWidth="1"/>
    <col min="4609" max="4609" width="22.1640625" style="423" customWidth="1"/>
    <col min="4610" max="4610" width="14.33203125" style="423" customWidth="1"/>
    <col min="4611" max="4611" width="19" style="423" customWidth="1"/>
    <col min="4612" max="4612" width="8.83203125" style="423" customWidth="1"/>
    <col min="4613" max="4613" width="11.33203125" style="423" customWidth="1"/>
    <col min="4614" max="4614" width="8.83203125" style="423" customWidth="1"/>
    <col min="4615" max="4615" width="6.33203125" style="423" customWidth="1"/>
    <col min="4616" max="4616" width="14.33203125" style="423" customWidth="1"/>
    <col min="4617" max="4620" width="8.83203125" style="423" customWidth="1"/>
    <col min="4621" max="4621" width="17.83203125" style="423" customWidth="1"/>
    <col min="4622" max="4863" width="8.83203125" style="423" customWidth="1"/>
    <col min="4864" max="4864" width="32.33203125" style="423" bestFit="1" customWidth="1"/>
    <col min="4865" max="4865" width="22.1640625" style="423" customWidth="1"/>
    <col min="4866" max="4866" width="14.33203125" style="423" customWidth="1"/>
    <col min="4867" max="4867" width="19" style="423" customWidth="1"/>
    <col min="4868" max="4868" width="8.83203125" style="423" customWidth="1"/>
    <col min="4869" max="4869" width="11.33203125" style="423" customWidth="1"/>
    <col min="4870" max="4870" width="8.83203125" style="423" customWidth="1"/>
    <col min="4871" max="4871" width="6.33203125" style="423" customWidth="1"/>
    <col min="4872" max="4872" width="14.33203125" style="423" customWidth="1"/>
    <col min="4873" max="4876" width="8.83203125" style="423" customWidth="1"/>
    <col min="4877" max="4877" width="17.83203125" style="423" customWidth="1"/>
    <col min="4878" max="5119" width="8.83203125" style="423" customWidth="1"/>
    <col min="5120" max="5120" width="32.33203125" style="423" bestFit="1" customWidth="1"/>
    <col min="5121" max="5121" width="22.1640625" style="423" customWidth="1"/>
    <col min="5122" max="5122" width="14.33203125" style="423" customWidth="1"/>
    <col min="5123" max="5123" width="19" style="423" customWidth="1"/>
    <col min="5124" max="5124" width="8.83203125" style="423" customWidth="1"/>
    <col min="5125" max="5125" width="11.33203125" style="423" customWidth="1"/>
    <col min="5126" max="5126" width="8.83203125" style="423" customWidth="1"/>
    <col min="5127" max="5127" width="6.33203125" style="423" customWidth="1"/>
    <col min="5128" max="5128" width="14.33203125" style="423" customWidth="1"/>
    <col min="5129" max="5132" width="8.83203125" style="423" customWidth="1"/>
    <col min="5133" max="5133" width="17.83203125" style="423" customWidth="1"/>
    <col min="5134" max="5375" width="8.83203125" style="423" customWidth="1"/>
    <col min="5376" max="5376" width="32.33203125" style="423" bestFit="1" customWidth="1"/>
    <col min="5377" max="5377" width="22.1640625" style="423" customWidth="1"/>
    <col min="5378" max="5378" width="14.33203125" style="423" customWidth="1"/>
    <col min="5379" max="5379" width="19" style="423" customWidth="1"/>
    <col min="5380" max="5380" width="8.83203125" style="423" customWidth="1"/>
    <col min="5381" max="5381" width="11.33203125" style="423" customWidth="1"/>
    <col min="5382" max="5382" width="8.83203125" style="423" customWidth="1"/>
    <col min="5383" max="5383" width="6.33203125" style="423" customWidth="1"/>
    <col min="5384" max="5384" width="14.33203125" style="423" customWidth="1"/>
    <col min="5385" max="5388" width="8.83203125" style="423" customWidth="1"/>
    <col min="5389" max="5389" width="17.83203125" style="423" customWidth="1"/>
    <col min="5390" max="5631" width="8.83203125" style="423" customWidth="1"/>
    <col min="5632" max="5632" width="32.33203125" style="423" bestFit="1" customWidth="1"/>
    <col min="5633" max="5633" width="22.1640625" style="423" customWidth="1"/>
    <col min="5634" max="5634" width="14.33203125" style="423" customWidth="1"/>
    <col min="5635" max="5635" width="19" style="423" customWidth="1"/>
    <col min="5636" max="5636" width="8.83203125" style="423" customWidth="1"/>
    <col min="5637" max="5637" width="11.33203125" style="423" customWidth="1"/>
    <col min="5638" max="5638" width="8.83203125" style="423" customWidth="1"/>
    <col min="5639" max="5639" width="6.33203125" style="423" customWidth="1"/>
    <col min="5640" max="5640" width="14.33203125" style="423" customWidth="1"/>
    <col min="5641" max="5644" width="8.83203125" style="423" customWidth="1"/>
    <col min="5645" max="5645" width="17.83203125" style="423" customWidth="1"/>
    <col min="5646" max="5887" width="8.83203125" style="423" customWidth="1"/>
    <col min="5888" max="5888" width="32.33203125" style="423" bestFit="1" customWidth="1"/>
    <col min="5889" max="5889" width="22.1640625" style="423" customWidth="1"/>
    <col min="5890" max="5890" width="14.33203125" style="423" customWidth="1"/>
    <col min="5891" max="5891" width="19" style="423" customWidth="1"/>
    <col min="5892" max="5892" width="8.83203125" style="423" customWidth="1"/>
    <col min="5893" max="5893" width="11.33203125" style="423" customWidth="1"/>
    <col min="5894" max="5894" width="8.83203125" style="423" customWidth="1"/>
    <col min="5895" max="5895" width="6.33203125" style="423" customWidth="1"/>
    <col min="5896" max="5896" width="14.33203125" style="423" customWidth="1"/>
    <col min="5897" max="5900" width="8.83203125" style="423" customWidth="1"/>
    <col min="5901" max="5901" width="17.83203125" style="423" customWidth="1"/>
    <col min="5902" max="6143" width="8.83203125" style="423" customWidth="1"/>
    <col min="6144" max="6144" width="32.33203125" style="423" bestFit="1" customWidth="1"/>
    <col min="6145" max="6145" width="22.1640625" style="423" customWidth="1"/>
    <col min="6146" max="6146" width="14.33203125" style="423" customWidth="1"/>
    <col min="6147" max="6147" width="19" style="423" customWidth="1"/>
    <col min="6148" max="6148" width="8.83203125" style="423" customWidth="1"/>
    <col min="6149" max="6149" width="11.33203125" style="423" customWidth="1"/>
    <col min="6150" max="6150" width="8.83203125" style="423" customWidth="1"/>
    <col min="6151" max="6151" width="6.33203125" style="423" customWidth="1"/>
    <col min="6152" max="6152" width="14.33203125" style="423" customWidth="1"/>
    <col min="6153" max="6156" width="8.83203125" style="423" customWidth="1"/>
    <col min="6157" max="6157" width="17.83203125" style="423" customWidth="1"/>
    <col min="6158" max="6399" width="8.83203125" style="423" customWidth="1"/>
    <col min="6400" max="6400" width="32.33203125" style="423" bestFit="1" customWidth="1"/>
    <col min="6401" max="6401" width="22.1640625" style="423" customWidth="1"/>
    <col min="6402" max="6402" width="14.33203125" style="423" customWidth="1"/>
    <col min="6403" max="6403" width="19" style="423" customWidth="1"/>
    <col min="6404" max="6404" width="8.83203125" style="423" customWidth="1"/>
    <col min="6405" max="6405" width="11.33203125" style="423" customWidth="1"/>
    <col min="6406" max="6406" width="8.83203125" style="423" customWidth="1"/>
    <col min="6407" max="6407" width="6.33203125" style="423" customWidth="1"/>
    <col min="6408" max="6408" width="14.33203125" style="423" customWidth="1"/>
    <col min="6409" max="6412" width="8.83203125" style="423" customWidth="1"/>
    <col min="6413" max="6413" width="17.83203125" style="423" customWidth="1"/>
    <col min="6414" max="6655" width="8.83203125" style="423" customWidth="1"/>
    <col min="6656" max="6656" width="32.33203125" style="423" bestFit="1" customWidth="1"/>
    <col min="6657" max="6657" width="22.1640625" style="423" customWidth="1"/>
    <col min="6658" max="6658" width="14.33203125" style="423" customWidth="1"/>
    <col min="6659" max="6659" width="19" style="423" customWidth="1"/>
    <col min="6660" max="6660" width="8.83203125" style="423" customWidth="1"/>
    <col min="6661" max="6661" width="11.33203125" style="423" customWidth="1"/>
    <col min="6662" max="6662" width="8.83203125" style="423" customWidth="1"/>
    <col min="6663" max="6663" width="6.33203125" style="423" customWidth="1"/>
    <col min="6664" max="6664" width="14.33203125" style="423" customWidth="1"/>
    <col min="6665" max="6668" width="8.83203125" style="423" customWidth="1"/>
    <col min="6669" max="6669" width="17.83203125" style="423" customWidth="1"/>
    <col min="6670" max="6911" width="8.83203125" style="423" customWidth="1"/>
    <col min="6912" max="6912" width="32.33203125" style="423" bestFit="1" customWidth="1"/>
    <col min="6913" max="6913" width="22.1640625" style="423" customWidth="1"/>
    <col min="6914" max="6914" width="14.33203125" style="423" customWidth="1"/>
    <col min="6915" max="6915" width="19" style="423" customWidth="1"/>
    <col min="6916" max="6916" width="8.83203125" style="423" customWidth="1"/>
    <col min="6917" max="6917" width="11.33203125" style="423" customWidth="1"/>
    <col min="6918" max="6918" width="8.83203125" style="423" customWidth="1"/>
    <col min="6919" max="6919" width="6.33203125" style="423" customWidth="1"/>
    <col min="6920" max="6920" width="14.33203125" style="423" customWidth="1"/>
    <col min="6921" max="6924" width="8.83203125" style="423" customWidth="1"/>
    <col min="6925" max="6925" width="17.83203125" style="423" customWidth="1"/>
    <col min="6926" max="7167" width="8.83203125" style="423" customWidth="1"/>
    <col min="7168" max="7168" width="32.33203125" style="423" bestFit="1" customWidth="1"/>
    <col min="7169" max="7169" width="22.1640625" style="423" customWidth="1"/>
    <col min="7170" max="7170" width="14.33203125" style="423" customWidth="1"/>
    <col min="7171" max="7171" width="19" style="423" customWidth="1"/>
    <col min="7172" max="7172" width="8.83203125" style="423" customWidth="1"/>
    <col min="7173" max="7173" width="11.33203125" style="423" customWidth="1"/>
    <col min="7174" max="7174" width="8.83203125" style="423" customWidth="1"/>
    <col min="7175" max="7175" width="6.33203125" style="423" customWidth="1"/>
    <col min="7176" max="7176" width="14.33203125" style="423" customWidth="1"/>
    <col min="7177" max="7180" width="8.83203125" style="423" customWidth="1"/>
    <col min="7181" max="7181" width="17.83203125" style="423" customWidth="1"/>
    <col min="7182" max="7423" width="8.83203125" style="423" customWidth="1"/>
    <col min="7424" max="7424" width="32.33203125" style="423" bestFit="1" customWidth="1"/>
    <col min="7425" max="7425" width="22.1640625" style="423" customWidth="1"/>
    <col min="7426" max="7426" width="14.33203125" style="423" customWidth="1"/>
    <col min="7427" max="7427" width="19" style="423" customWidth="1"/>
    <col min="7428" max="7428" width="8.83203125" style="423" customWidth="1"/>
    <col min="7429" max="7429" width="11.33203125" style="423" customWidth="1"/>
    <col min="7430" max="7430" width="8.83203125" style="423" customWidth="1"/>
    <col min="7431" max="7431" width="6.33203125" style="423" customWidth="1"/>
    <col min="7432" max="7432" width="14.33203125" style="423" customWidth="1"/>
    <col min="7433" max="7436" width="8.83203125" style="423" customWidth="1"/>
    <col min="7437" max="7437" width="17.83203125" style="423" customWidth="1"/>
    <col min="7438" max="7679" width="8.83203125" style="423" customWidth="1"/>
    <col min="7680" max="7680" width="32.33203125" style="423" bestFit="1" customWidth="1"/>
    <col min="7681" max="7681" width="22.1640625" style="423" customWidth="1"/>
    <col min="7682" max="7682" width="14.33203125" style="423" customWidth="1"/>
    <col min="7683" max="7683" width="19" style="423" customWidth="1"/>
    <col min="7684" max="7684" width="8.83203125" style="423" customWidth="1"/>
    <col min="7685" max="7685" width="11.33203125" style="423" customWidth="1"/>
    <col min="7686" max="7686" width="8.83203125" style="423" customWidth="1"/>
    <col min="7687" max="7687" width="6.33203125" style="423" customWidth="1"/>
    <col min="7688" max="7688" width="14.33203125" style="423" customWidth="1"/>
    <col min="7689" max="7692" width="8.83203125" style="423" customWidth="1"/>
    <col min="7693" max="7693" width="17.83203125" style="423" customWidth="1"/>
    <col min="7694" max="7935" width="8.83203125" style="423" customWidth="1"/>
    <col min="7936" max="7936" width="32.33203125" style="423" bestFit="1" customWidth="1"/>
    <col min="7937" max="7937" width="22.1640625" style="423" customWidth="1"/>
    <col min="7938" max="7938" width="14.33203125" style="423" customWidth="1"/>
    <col min="7939" max="7939" width="19" style="423" customWidth="1"/>
    <col min="7940" max="7940" width="8.83203125" style="423" customWidth="1"/>
    <col min="7941" max="7941" width="11.33203125" style="423" customWidth="1"/>
    <col min="7942" max="7942" width="8.83203125" style="423" customWidth="1"/>
    <col min="7943" max="7943" width="6.33203125" style="423" customWidth="1"/>
    <col min="7944" max="7944" width="14.33203125" style="423" customWidth="1"/>
    <col min="7945" max="7948" width="8.83203125" style="423" customWidth="1"/>
    <col min="7949" max="7949" width="17.83203125" style="423" customWidth="1"/>
    <col min="7950" max="8191" width="8.83203125" style="423" customWidth="1"/>
    <col min="8192" max="8192" width="32.33203125" style="423" bestFit="1" customWidth="1"/>
    <col min="8193" max="8193" width="22.1640625" style="423" customWidth="1"/>
    <col min="8194" max="8194" width="14.33203125" style="423" customWidth="1"/>
    <col min="8195" max="8195" width="19" style="423" customWidth="1"/>
    <col min="8196" max="8196" width="8.83203125" style="423" customWidth="1"/>
    <col min="8197" max="8197" width="11.33203125" style="423" customWidth="1"/>
    <col min="8198" max="8198" width="8.83203125" style="423" customWidth="1"/>
    <col min="8199" max="8199" width="6.33203125" style="423" customWidth="1"/>
    <col min="8200" max="8200" width="14.33203125" style="423" customWidth="1"/>
    <col min="8201" max="8204" width="8.83203125" style="423" customWidth="1"/>
    <col min="8205" max="8205" width="17.83203125" style="423" customWidth="1"/>
    <col min="8206" max="8447" width="8.83203125" style="423" customWidth="1"/>
    <col min="8448" max="8448" width="32.33203125" style="423" bestFit="1" customWidth="1"/>
    <col min="8449" max="8449" width="22.1640625" style="423" customWidth="1"/>
    <col min="8450" max="8450" width="14.33203125" style="423" customWidth="1"/>
    <col min="8451" max="8451" width="19" style="423" customWidth="1"/>
    <col min="8452" max="8452" width="8.83203125" style="423" customWidth="1"/>
    <col min="8453" max="8453" width="11.33203125" style="423" customWidth="1"/>
    <col min="8454" max="8454" width="8.83203125" style="423" customWidth="1"/>
    <col min="8455" max="8455" width="6.33203125" style="423" customWidth="1"/>
    <col min="8456" max="8456" width="14.33203125" style="423" customWidth="1"/>
    <col min="8457" max="8460" width="8.83203125" style="423" customWidth="1"/>
    <col min="8461" max="8461" width="17.83203125" style="423" customWidth="1"/>
    <col min="8462" max="8703" width="8.83203125" style="423" customWidth="1"/>
    <col min="8704" max="8704" width="32.33203125" style="423" bestFit="1" customWidth="1"/>
    <col min="8705" max="8705" width="22.1640625" style="423" customWidth="1"/>
    <col min="8706" max="8706" width="14.33203125" style="423" customWidth="1"/>
    <col min="8707" max="8707" width="19" style="423" customWidth="1"/>
    <col min="8708" max="8708" width="8.83203125" style="423" customWidth="1"/>
    <col min="8709" max="8709" width="11.33203125" style="423" customWidth="1"/>
    <col min="8710" max="8710" width="8.83203125" style="423" customWidth="1"/>
    <col min="8711" max="8711" width="6.33203125" style="423" customWidth="1"/>
    <col min="8712" max="8712" width="14.33203125" style="423" customWidth="1"/>
    <col min="8713" max="8716" width="8.83203125" style="423" customWidth="1"/>
    <col min="8717" max="8717" width="17.83203125" style="423" customWidth="1"/>
    <col min="8718" max="8959" width="8.83203125" style="423" customWidth="1"/>
    <col min="8960" max="8960" width="32.33203125" style="423" bestFit="1" customWidth="1"/>
    <col min="8961" max="8961" width="22.1640625" style="423" customWidth="1"/>
    <col min="8962" max="8962" width="14.33203125" style="423" customWidth="1"/>
    <col min="8963" max="8963" width="19" style="423" customWidth="1"/>
    <col min="8964" max="8964" width="8.83203125" style="423" customWidth="1"/>
    <col min="8965" max="8965" width="11.33203125" style="423" customWidth="1"/>
    <col min="8966" max="8966" width="8.83203125" style="423" customWidth="1"/>
    <col min="8967" max="8967" width="6.33203125" style="423" customWidth="1"/>
    <col min="8968" max="8968" width="14.33203125" style="423" customWidth="1"/>
    <col min="8969" max="8972" width="8.83203125" style="423" customWidth="1"/>
    <col min="8973" max="8973" width="17.83203125" style="423" customWidth="1"/>
    <col min="8974" max="9215" width="8.83203125" style="423" customWidth="1"/>
    <col min="9216" max="9216" width="32.33203125" style="423" bestFit="1" customWidth="1"/>
    <col min="9217" max="9217" width="22.1640625" style="423" customWidth="1"/>
    <col min="9218" max="9218" width="14.33203125" style="423" customWidth="1"/>
    <col min="9219" max="9219" width="19" style="423" customWidth="1"/>
    <col min="9220" max="9220" width="8.83203125" style="423" customWidth="1"/>
    <col min="9221" max="9221" width="11.33203125" style="423" customWidth="1"/>
    <col min="9222" max="9222" width="8.83203125" style="423" customWidth="1"/>
    <col min="9223" max="9223" width="6.33203125" style="423" customWidth="1"/>
    <col min="9224" max="9224" width="14.33203125" style="423" customWidth="1"/>
    <col min="9225" max="9228" width="8.83203125" style="423" customWidth="1"/>
    <col min="9229" max="9229" width="17.83203125" style="423" customWidth="1"/>
    <col min="9230" max="9471" width="8.83203125" style="423" customWidth="1"/>
    <col min="9472" max="9472" width="32.33203125" style="423" bestFit="1" customWidth="1"/>
    <col min="9473" max="9473" width="22.1640625" style="423" customWidth="1"/>
    <col min="9474" max="9474" width="14.33203125" style="423" customWidth="1"/>
    <col min="9475" max="9475" width="19" style="423" customWidth="1"/>
    <col min="9476" max="9476" width="8.83203125" style="423" customWidth="1"/>
    <col min="9477" max="9477" width="11.33203125" style="423" customWidth="1"/>
    <col min="9478" max="9478" width="8.83203125" style="423" customWidth="1"/>
    <col min="9479" max="9479" width="6.33203125" style="423" customWidth="1"/>
    <col min="9480" max="9480" width="14.33203125" style="423" customWidth="1"/>
    <col min="9481" max="9484" width="8.83203125" style="423" customWidth="1"/>
    <col min="9485" max="9485" width="17.83203125" style="423" customWidth="1"/>
    <col min="9486" max="9727" width="8.83203125" style="423" customWidth="1"/>
    <col min="9728" max="9728" width="32.33203125" style="423" bestFit="1" customWidth="1"/>
    <col min="9729" max="9729" width="22.1640625" style="423" customWidth="1"/>
    <col min="9730" max="9730" width="14.33203125" style="423" customWidth="1"/>
    <col min="9731" max="9731" width="19" style="423" customWidth="1"/>
    <col min="9732" max="9732" width="8.83203125" style="423" customWidth="1"/>
    <col min="9733" max="9733" width="11.33203125" style="423" customWidth="1"/>
    <col min="9734" max="9734" width="8.83203125" style="423" customWidth="1"/>
    <col min="9735" max="9735" width="6.33203125" style="423" customWidth="1"/>
    <col min="9736" max="9736" width="14.33203125" style="423" customWidth="1"/>
    <col min="9737" max="9740" width="8.83203125" style="423" customWidth="1"/>
    <col min="9741" max="9741" width="17.83203125" style="423" customWidth="1"/>
    <col min="9742" max="9983" width="8.83203125" style="423" customWidth="1"/>
    <col min="9984" max="9984" width="32.33203125" style="423" bestFit="1" customWidth="1"/>
    <col min="9985" max="9985" width="22.1640625" style="423" customWidth="1"/>
    <col min="9986" max="9986" width="14.33203125" style="423" customWidth="1"/>
    <col min="9987" max="9987" width="19" style="423" customWidth="1"/>
    <col min="9988" max="9988" width="8.83203125" style="423" customWidth="1"/>
    <col min="9989" max="9989" width="11.33203125" style="423" customWidth="1"/>
    <col min="9990" max="9990" width="8.83203125" style="423" customWidth="1"/>
    <col min="9991" max="9991" width="6.33203125" style="423" customWidth="1"/>
    <col min="9992" max="9992" width="14.33203125" style="423" customWidth="1"/>
    <col min="9993" max="9996" width="8.83203125" style="423" customWidth="1"/>
    <col min="9997" max="9997" width="17.83203125" style="423" customWidth="1"/>
    <col min="9998" max="10239" width="8.83203125" style="423" customWidth="1"/>
    <col min="10240" max="10240" width="32.33203125" style="423" bestFit="1" customWidth="1"/>
    <col min="10241" max="10241" width="22.1640625" style="423" customWidth="1"/>
    <col min="10242" max="10242" width="14.33203125" style="423" customWidth="1"/>
    <col min="10243" max="10243" width="19" style="423" customWidth="1"/>
    <col min="10244" max="10244" width="8.83203125" style="423" customWidth="1"/>
    <col min="10245" max="10245" width="11.33203125" style="423" customWidth="1"/>
    <col min="10246" max="10246" width="8.83203125" style="423" customWidth="1"/>
    <col min="10247" max="10247" width="6.33203125" style="423" customWidth="1"/>
    <col min="10248" max="10248" width="14.33203125" style="423" customWidth="1"/>
    <col min="10249" max="10252" width="8.83203125" style="423" customWidth="1"/>
    <col min="10253" max="10253" width="17.83203125" style="423" customWidth="1"/>
    <col min="10254" max="10495" width="8.83203125" style="423" customWidth="1"/>
    <col min="10496" max="10496" width="32.33203125" style="423" bestFit="1" customWidth="1"/>
    <col min="10497" max="10497" width="22.1640625" style="423" customWidth="1"/>
    <col min="10498" max="10498" width="14.33203125" style="423" customWidth="1"/>
    <col min="10499" max="10499" width="19" style="423" customWidth="1"/>
    <col min="10500" max="10500" width="8.83203125" style="423" customWidth="1"/>
    <col min="10501" max="10501" width="11.33203125" style="423" customWidth="1"/>
    <col min="10502" max="10502" width="8.83203125" style="423" customWidth="1"/>
    <col min="10503" max="10503" width="6.33203125" style="423" customWidth="1"/>
    <col min="10504" max="10504" width="14.33203125" style="423" customWidth="1"/>
    <col min="10505" max="10508" width="8.83203125" style="423" customWidth="1"/>
    <col min="10509" max="10509" width="17.83203125" style="423" customWidth="1"/>
    <col min="10510" max="10751" width="8.83203125" style="423" customWidth="1"/>
    <col min="10752" max="10752" width="32.33203125" style="423" bestFit="1" customWidth="1"/>
    <col min="10753" max="10753" width="22.1640625" style="423" customWidth="1"/>
    <col min="10754" max="10754" width="14.33203125" style="423" customWidth="1"/>
    <col min="10755" max="10755" width="19" style="423" customWidth="1"/>
    <col min="10756" max="10756" width="8.83203125" style="423" customWidth="1"/>
    <col min="10757" max="10757" width="11.33203125" style="423" customWidth="1"/>
    <col min="10758" max="10758" width="8.83203125" style="423" customWidth="1"/>
    <col min="10759" max="10759" width="6.33203125" style="423" customWidth="1"/>
    <col min="10760" max="10760" width="14.33203125" style="423" customWidth="1"/>
    <col min="10761" max="10764" width="8.83203125" style="423" customWidth="1"/>
    <col min="10765" max="10765" width="17.83203125" style="423" customWidth="1"/>
    <col min="10766" max="11007" width="8.83203125" style="423" customWidth="1"/>
    <col min="11008" max="11008" width="32.33203125" style="423" bestFit="1" customWidth="1"/>
    <col min="11009" max="11009" width="22.1640625" style="423" customWidth="1"/>
    <col min="11010" max="11010" width="14.33203125" style="423" customWidth="1"/>
    <col min="11011" max="11011" width="19" style="423" customWidth="1"/>
    <col min="11012" max="11012" width="8.83203125" style="423" customWidth="1"/>
    <col min="11013" max="11013" width="11.33203125" style="423" customWidth="1"/>
    <col min="11014" max="11014" width="8.83203125" style="423" customWidth="1"/>
    <col min="11015" max="11015" width="6.33203125" style="423" customWidth="1"/>
    <col min="11016" max="11016" width="14.33203125" style="423" customWidth="1"/>
    <col min="11017" max="11020" width="8.83203125" style="423" customWidth="1"/>
    <col min="11021" max="11021" width="17.83203125" style="423" customWidth="1"/>
    <col min="11022" max="11263" width="8.83203125" style="423" customWidth="1"/>
    <col min="11264" max="11264" width="32.33203125" style="423" bestFit="1" customWidth="1"/>
    <col min="11265" max="11265" width="22.1640625" style="423" customWidth="1"/>
    <col min="11266" max="11266" width="14.33203125" style="423" customWidth="1"/>
    <col min="11267" max="11267" width="19" style="423" customWidth="1"/>
    <col min="11268" max="11268" width="8.83203125" style="423" customWidth="1"/>
    <col min="11269" max="11269" width="11.33203125" style="423" customWidth="1"/>
    <col min="11270" max="11270" width="8.83203125" style="423" customWidth="1"/>
    <col min="11271" max="11271" width="6.33203125" style="423" customWidth="1"/>
    <col min="11272" max="11272" width="14.33203125" style="423" customWidth="1"/>
    <col min="11273" max="11276" width="8.83203125" style="423" customWidth="1"/>
    <col min="11277" max="11277" width="17.83203125" style="423" customWidth="1"/>
    <col min="11278" max="11519" width="8.83203125" style="423" customWidth="1"/>
    <col min="11520" max="11520" width="32.33203125" style="423" bestFit="1" customWidth="1"/>
    <col min="11521" max="11521" width="22.1640625" style="423" customWidth="1"/>
    <col min="11522" max="11522" width="14.33203125" style="423" customWidth="1"/>
    <col min="11523" max="11523" width="19" style="423" customWidth="1"/>
    <col min="11524" max="11524" width="8.83203125" style="423" customWidth="1"/>
    <col min="11525" max="11525" width="11.33203125" style="423" customWidth="1"/>
    <col min="11526" max="11526" width="8.83203125" style="423" customWidth="1"/>
    <col min="11527" max="11527" width="6.33203125" style="423" customWidth="1"/>
    <col min="11528" max="11528" width="14.33203125" style="423" customWidth="1"/>
    <col min="11529" max="11532" width="8.83203125" style="423" customWidth="1"/>
    <col min="11533" max="11533" width="17.83203125" style="423" customWidth="1"/>
    <col min="11534" max="11775" width="8.83203125" style="423" customWidth="1"/>
    <col min="11776" max="11776" width="32.33203125" style="423" bestFit="1" customWidth="1"/>
    <col min="11777" max="11777" width="22.1640625" style="423" customWidth="1"/>
    <col min="11778" max="11778" width="14.33203125" style="423" customWidth="1"/>
    <col min="11779" max="11779" width="19" style="423" customWidth="1"/>
    <col min="11780" max="11780" width="8.83203125" style="423" customWidth="1"/>
    <col min="11781" max="11781" width="11.33203125" style="423" customWidth="1"/>
    <col min="11782" max="11782" width="8.83203125" style="423" customWidth="1"/>
    <col min="11783" max="11783" width="6.33203125" style="423" customWidth="1"/>
    <col min="11784" max="11784" width="14.33203125" style="423" customWidth="1"/>
    <col min="11785" max="11788" width="8.83203125" style="423" customWidth="1"/>
    <col min="11789" max="11789" width="17.83203125" style="423" customWidth="1"/>
    <col min="11790" max="12031" width="8.83203125" style="423" customWidth="1"/>
    <col min="12032" max="12032" width="32.33203125" style="423" bestFit="1" customWidth="1"/>
    <col min="12033" max="12033" width="22.1640625" style="423" customWidth="1"/>
    <col min="12034" max="12034" width="14.33203125" style="423" customWidth="1"/>
    <col min="12035" max="12035" width="19" style="423" customWidth="1"/>
    <col min="12036" max="12036" width="8.83203125" style="423" customWidth="1"/>
    <col min="12037" max="12037" width="11.33203125" style="423" customWidth="1"/>
    <col min="12038" max="12038" width="8.83203125" style="423" customWidth="1"/>
    <col min="12039" max="12039" width="6.33203125" style="423" customWidth="1"/>
    <col min="12040" max="12040" width="14.33203125" style="423" customWidth="1"/>
    <col min="12041" max="12044" width="8.83203125" style="423" customWidth="1"/>
    <col min="12045" max="12045" width="17.83203125" style="423" customWidth="1"/>
    <col min="12046" max="12287" width="8.83203125" style="423" customWidth="1"/>
    <col min="12288" max="12288" width="32.33203125" style="423" bestFit="1" customWidth="1"/>
    <col min="12289" max="12289" width="22.1640625" style="423" customWidth="1"/>
    <col min="12290" max="12290" width="14.33203125" style="423" customWidth="1"/>
    <col min="12291" max="12291" width="19" style="423" customWidth="1"/>
    <col min="12292" max="12292" width="8.83203125" style="423" customWidth="1"/>
    <col min="12293" max="12293" width="11.33203125" style="423" customWidth="1"/>
    <col min="12294" max="12294" width="8.83203125" style="423" customWidth="1"/>
    <col min="12295" max="12295" width="6.33203125" style="423" customWidth="1"/>
    <col min="12296" max="12296" width="14.33203125" style="423" customWidth="1"/>
    <col min="12297" max="12300" width="8.83203125" style="423" customWidth="1"/>
    <col min="12301" max="12301" width="17.83203125" style="423" customWidth="1"/>
    <col min="12302" max="12543" width="8.83203125" style="423" customWidth="1"/>
    <col min="12544" max="12544" width="32.33203125" style="423" bestFit="1" customWidth="1"/>
    <col min="12545" max="12545" width="22.1640625" style="423" customWidth="1"/>
    <col min="12546" max="12546" width="14.33203125" style="423" customWidth="1"/>
    <col min="12547" max="12547" width="19" style="423" customWidth="1"/>
    <col min="12548" max="12548" width="8.83203125" style="423" customWidth="1"/>
    <col min="12549" max="12549" width="11.33203125" style="423" customWidth="1"/>
    <col min="12550" max="12550" width="8.83203125" style="423" customWidth="1"/>
    <col min="12551" max="12551" width="6.33203125" style="423" customWidth="1"/>
    <col min="12552" max="12552" width="14.33203125" style="423" customWidth="1"/>
    <col min="12553" max="12556" width="8.83203125" style="423" customWidth="1"/>
    <col min="12557" max="12557" width="17.83203125" style="423" customWidth="1"/>
    <col min="12558" max="12799" width="8.83203125" style="423" customWidth="1"/>
    <col min="12800" max="12800" width="32.33203125" style="423" bestFit="1" customWidth="1"/>
    <col min="12801" max="12801" width="22.1640625" style="423" customWidth="1"/>
    <col min="12802" max="12802" width="14.33203125" style="423" customWidth="1"/>
    <col min="12803" max="12803" width="19" style="423" customWidth="1"/>
    <col min="12804" max="12804" width="8.83203125" style="423" customWidth="1"/>
    <col min="12805" max="12805" width="11.33203125" style="423" customWidth="1"/>
    <col min="12806" max="12806" width="8.83203125" style="423" customWidth="1"/>
    <col min="12807" max="12807" width="6.33203125" style="423" customWidth="1"/>
    <col min="12808" max="12808" width="14.33203125" style="423" customWidth="1"/>
    <col min="12809" max="12812" width="8.83203125" style="423" customWidth="1"/>
    <col min="12813" max="12813" width="17.83203125" style="423" customWidth="1"/>
    <col min="12814" max="13055" width="8.83203125" style="423" customWidth="1"/>
    <col min="13056" max="13056" width="32.33203125" style="423" bestFit="1" customWidth="1"/>
    <col min="13057" max="13057" width="22.1640625" style="423" customWidth="1"/>
    <col min="13058" max="13058" width="14.33203125" style="423" customWidth="1"/>
    <col min="13059" max="13059" width="19" style="423" customWidth="1"/>
    <col min="13060" max="13060" width="8.83203125" style="423" customWidth="1"/>
    <col min="13061" max="13061" width="11.33203125" style="423" customWidth="1"/>
    <col min="13062" max="13062" width="8.83203125" style="423" customWidth="1"/>
    <col min="13063" max="13063" width="6.33203125" style="423" customWidth="1"/>
    <col min="13064" max="13064" width="14.33203125" style="423" customWidth="1"/>
    <col min="13065" max="13068" width="8.83203125" style="423" customWidth="1"/>
    <col min="13069" max="13069" width="17.83203125" style="423" customWidth="1"/>
    <col min="13070" max="13311" width="8.83203125" style="423" customWidth="1"/>
    <col min="13312" max="13312" width="32.33203125" style="423" bestFit="1" customWidth="1"/>
    <col min="13313" max="13313" width="22.1640625" style="423" customWidth="1"/>
    <col min="13314" max="13314" width="14.33203125" style="423" customWidth="1"/>
    <col min="13315" max="13315" width="19" style="423" customWidth="1"/>
    <col min="13316" max="13316" width="8.83203125" style="423" customWidth="1"/>
    <col min="13317" max="13317" width="11.33203125" style="423" customWidth="1"/>
    <col min="13318" max="13318" width="8.83203125" style="423" customWidth="1"/>
    <col min="13319" max="13319" width="6.33203125" style="423" customWidth="1"/>
    <col min="13320" max="13320" width="14.33203125" style="423" customWidth="1"/>
    <col min="13321" max="13324" width="8.83203125" style="423" customWidth="1"/>
    <col min="13325" max="13325" width="17.83203125" style="423" customWidth="1"/>
    <col min="13326" max="13567" width="8.83203125" style="423" customWidth="1"/>
    <col min="13568" max="13568" width="32.33203125" style="423" bestFit="1" customWidth="1"/>
    <col min="13569" max="13569" width="22.1640625" style="423" customWidth="1"/>
    <col min="13570" max="13570" width="14.33203125" style="423" customWidth="1"/>
    <col min="13571" max="13571" width="19" style="423" customWidth="1"/>
    <col min="13572" max="13572" width="8.83203125" style="423" customWidth="1"/>
    <col min="13573" max="13573" width="11.33203125" style="423" customWidth="1"/>
    <col min="13574" max="13574" width="8.83203125" style="423" customWidth="1"/>
    <col min="13575" max="13575" width="6.33203125" style="423" customWidth="1"/>
    <col min="13576" max="13576" width="14.33203125" style="423" customWidth="1"/>
    <col min="13577" max="13580" width="8.83203125" style="423" customWidth="1"/>
    <col min="13581" max="13581" width="17.83203125" style="423" customWidth="1"/>
    <col min="13582" max="13823" width="8.83203125" style="423" customWidth="1"/>
    <col min="13824" max="13824" width="32.33203125" style="423" bestFit="1" customWidth="1"/>
    <col min="13825" max="13825" width="22.1640625" style="423" customWidth="1"/>
    <col min="13826" max="13826" width="14.33203125" style="423" customWidth="1"/>
    <col min="13827" max="13827" width="19" style="423" customWidth="1"/>
    <col min="13828" max="13828" width="8.83203125" style="423" customWidth="1"/>
    <col min="13829" max="13829" width="11.33203125" style="423" customWidth="1"/>
    <col min="13830" max="13830" width="8.83203125" style="423" customWidth="1"/>
    <col min="13831" max="13831" width="6.33203125" style="423" customWidth="1"/>
    <col min="13832" max="13832" width="14.33203125" style="423" customWidth="1"/>
    <col min="13833" max="13836" width="8.83203125" style="423" customWidth="1"/>
    <col min="13837" max="13837" width="17.83203125" style="423" customWidth="1"/>
    <col min="13838" max="14079" width="8.83203125" style="423" customWidth="1"/>
    <col min="14080" max="14080" width="32.33203125" style="423" bestFit="1" customWidth="1"/>
    <col min="14081" max="14081" width="22.1640625" style="423" customWidth="1"/>
    <col min="14082" max="14082" width="14.33203125" style="423" customWidth="1"/>
    <col min="14083" max="14083" width="19" style="423" customWidth="1"/>
    <col min="14084" max="14084" width="8.83203125" style="423" customWidth="1"/>
    <col min="14085" max="14085" width="11.33203125" style="423" customWidth="1"/>
    <col min="14086" max="14086" width="8.83203125" style="423" customWidth="1"/>
    <col min="14087" max="14087" width="6.33203125" style="423" customWidth="1"/>
    <col min="14088" max="14088" width="14.33203125" style="423" customWidth="1"/>
    <col min="14089" max="14092" width="8.83203125" style="423" customWidth="1"/>
    <col min="14093" max="14093" width="17.83203125" style="423" customWidth="1"/>
    <col min="14094" max="14335" width="8.83203125" style="423" customWidth="1"/>
    <col min="14336" max="14336" width="32.33203125" style="423" bestFit="1" customWidth="1"/>
    <col min="14337" max="14337" width="22.1640625" style="423" customWidth="1"/>
    <col min="14338" max="14338" width="14.33203125" style="423" customWidth="1"/>
    <col min="14339" max="14339" width="19" style="423" customWidth="1"/>
    <col min="14340" max="14340" width="8.83203125" style="423" customWidth="1"/>
    <col min="14341" max="14341" width="11.33203125" style="423" customWidth="1"/>
    <col min="14342" max="14342" width="8.83203125" style="423" customWidth="1"/>
    <col min="14343" max="14343" width="6.33203125" style="423" customWidth="1"/>
    <col min="14344" max="14344" width="14.33203125" style="423" customWidth="1"/>
    <col min="14345" max="14348" width="8.83203125" style="423" customWidth="1"/>
    <col min="14349" max="14349" width="17.83203125" style="423" customWidth="1"/>
    <col min="14350" max="14591" width="8.83203125" style="423" customWidth="1"/>
    <col min="14592" max="14592" width="32.33203125" style="423" bestFit="1" customWidth="1"/>
    <col min="14593" max="14593" width="22.1640625" style="423" customWidth="1"/>
    <col min="14594" max="14594" width="14.33203125" style="423" customWidth="1"/>
    <col min="14595" max="14595" width="19" style="423" customWidth="1"/>
    <col min="14596" max="14596" width="8.83203125" style="423" customWidth="1"/>
    <col min="14597" max="14597" width="11.33203125" style="423" customWidth="1"/>
    <col min="14598" max="14598" width="8.83203125" style="423" customWidth="1"/>
    <col min="14599" max="14599" width="6.33203125" style="423" customWidth="1"/>
    <col min="14600" max="14600" width="14.33203125" style="423" customWidth="1"/>
    <col min="14601" max="14604" width="8.83203125" style="423" customWidth="1"/>
    <col min="14605" max="14605" width="17.83203125" style="423" customWidth="1"/>
    <col min="14606" max="14847" width="8.83203125" style="423" customWidth="1"/>
    <col min="14848" max="14848" width="32.33203125" style="423" bestFit="1" customWidth="1"/>
    <col min="14849" max="14849" width="22.1640625" style="423" customWidth="1"/>
    <col min="14850" max="14850" width="14.33203125" style="423" customWidth="1"/>
    <col min="14851" max="14851" width="19" style="423" customWidth="1"/>
    <col min="14852" max="14852" width="8.83203125" style="423" customWidth="1"/>
    <col min="14853" max="14853" width="11.33203125" style="423" customWidth="1"/>
    <col min="14854" max="14854" width="8.83203125" style="423" customWidth="1"/>
    <col min="14855" max="14855" width="6.33203125" style="423" customWidth="1"/>
    <col min="14856" max="14856" width="14.33203125" style="423" customWidth="1"/>
    <col min="14857" max="14860" width="8.83203125" style="423" customWidth="1"/>
    <col min="14861" max="14861" width="17.83203125" style="423" customWidth="1"/>
    <col min="14862" max="15103" width="8.83203125" style="423" customWidth="1"/>
    <col min="15104" max="15104" width="32.33203125" style="423" bestFit="1" customWidth="1"/>
    <col min="15105" max="15105" width="22.1640625" style="423" customWidth="1"/>
    <col min="15106" max="15106" width="14.33203125" style="423" customWidth="1"/>
    <col min="15107" max="15107" width="19" style="423" customWidth="1"/>
    <col min="15108" max="15108" width="8.83203125" style="423" customWidth="1"/>
    <col min="15109" max="15109" width="11.33203125" style="423" customWidth="1"/>
    <col min="15110" max="15110" width="8.83203125" style="423" customWidth="1"/>
    <col min="15111" max="15111" width="6.33203125" style="423" customWidth="1"/>
    <col min="15112" max="15112" width="14.33203125" style="423" customWidth="1"/>
    <col min="15113" max="15116" width="8.83203125" style="423" customWidth="1"/>
    <col min="15117" max="15117" width="17.83203125" style="423" customWidth="1"/>
    <col min="15118" max="15359" width="8.83203125" style="423" customWidth="1"/>
    <col min="15360" max="15360" width="32.33203125" style="423" bestFit="1" customWidth="1"/>
    <col min="15361" max="15361" width="22.1640625" style="423" customWidth="1"/>
    <col min="15362" max="15362" width="14.33203125" style="423" customWidth="1"/>
    <col min="15363" max="15363" width="19" style="423" customWidth="1"/>
    <col min="15364" max="15364" width="8.83203125" style="423" customWidth="1"/>
    <col min="15365" max="15365" width="11.33203125" style="423" customWidth="1"/>
    <col min="15366" max="15366" width="8.83203125" style="423" customWidth="1"/>
    <col min="15367" max="15367" width="6.33203125" style="423" customWidth="1"/>
    <col min="15368" max="15368" width="14.33203125" style="423" customWidth="1"/>
    <col min="15369" max="15372" width="8.83203125" style="423" customWidth="1"/>
    <col min="15373" max="15373" width="17.83203125" style="423" customWidth="1"/>
    <col min="15374" max="15615" width="8.83203125" style="423" customWidth="1"/>
    <col min="15616" max="15616" width="32.33203125" style="423" bestFit="1" customWidth="1"/>
    <col min="15617" max="15617" width="22.1640625" style="423" customWidth="1"/>
    <col min="15618" max="15618" width="14.33203125" style="423" customWidth="1"/>
    <col min="15619" max="15619" width="19" style="423" customWidth="1"/>
    <col min="15620" max="15620" width="8.83203125" style="423" customWidth="1"/>
    <col min="15621" max="15621" width="11.33203125" style="423" customWidth="1"/>
    <col min="15622" max="15622" width="8.83203125" style="423" customWidth="1"/>
    <col min="15623" max="15623" width="6.33203125" style="423" customWidth="1"/>
    <col min="15624" max="15624" width="14.33203125" style="423" customWidth="1"/>
    <col min="15625" max="15628" width="8.83203125" style="423" customWidth="1"/>
    <col min="15629" max="15629" width="17.83203125" style="423" customWidth="1"/>
    <col min="15630" max="15871" width="8.83203125" style="423" customWidth="1"/>
    <col min="15872" max="15872" width="32.33203125" style="423" bestFit="1" customWidth="1"/>
    <col min="15873" max="15873" width="22.1640625" style="423" customWidth="1"/>
    <col min="15874" max="15874" width="14.33203125" style="423" customWidth="1"/>
    <col min="15875" max="15875" width="19" style="423" customWidth="1"/>
    <col min="15876" max="15876" width="8.83203125" style="423" customWidth="1"/>
    <col min="15877" max="15877" width="11.33203125" style="423" customWidth="1"/>
    <col min="15878" max="15878" width="8.83203125" style="423" customWidth="1"/>
    <col min="15879" max="15879" width="6.33203125" style="423" customWidth="1"/>
    <col min="15880" max="15880" width="14.33203125" style="423" customWidth="1"/>
    <col min="15881" max="15884" width="8.83203125" style="423" customWidth="1"/>
    <col min="15885" max="15885" width="17.83203125" style="423" customWidth="1"/>
    <col min="15886" max="16127" width="8.83203125" style="423" customWidth="1"/>
    <col min="16128" max="16128" width="32.33203125" style="423" bestFit="1" customWidth="1"/>
    <col min="16129" max="16129" width="22.1640625" style="423" customWidth="1"/>
    <col min="16130" max="16130" width="14.33203125" style="423" customWidth="1"/>
    <col min="16131" max="16131" width="19" style="423" customWidth="1"/>
    <col min="16132" max="16132" width="8.83203125" style="423" customWidth="1"/>
    <col min="16133" max="16133" width="11.33203125" style="423" customWidth="1"/>
    <col min="16134" max="16134" width="8.83203125" style="423" customWidth="1"/>
    <col min="16135" max="16135" width="6.33203125" style="423" customWidth="1"/>
    <col min="16136" max="16136" width="14.33203125" style="423" customWidth="1"/>
    <col min="16137" max="16140" width="8.83203125" style="423" customWidth="1"/>
    <col min="16141" max="16141" width="17.83203125" style="423" customWidth="1"/>
    <col min="16142" max="16384" width="8.83203125" style="423" customWidth="1"/>
  </cols>
  <sheetData>
    <row r="1" spans="1:14" x14ac:dyDescent="0.2">
      <c r="A1" s="422" t="s">
        <v>0</v>
      </c>
      <c r="B1" s="855" t="str">
        <f>'Cover Page'!D1</f>
        <v>ASU Preparatory Academy - Phoenix Middle School</v>
      </c>
      <c r="C1" s="855"/>
      <c r="E1" s="422" t="s">
        <v>1</v>
      </c>
      <c r="F1" s="636" t="str">
        <f>'Cover Page'!M1</f>
        <v>Maricopa</v>
      </c>
      <c r="G1" s="424"/>
      <c r="H1" s="422" t="s">
        <v>2</v>
      </c>
      <c r="I1" s="588" t="str">
        <f>'Cover Page'!R1</f>
        <v>078250000</v>
      </c>
      <c r="J1" s="636"/>
      <c r="K1" s="636"/>
    </row>
    <row r="4" spans="1:14" x14ac:dyDescent="0.2">
      <c r="H4" s="425" t="s">
        <v>485</v>
      </c>
      <c r="I4" s="679" t="s">
        <v>1198</v>
      </c>
      <c r="J4" s="679" t="s">
        <v>1199</v>
      </c>
    </row>
    <row r="5" spans="1:14" x14ac:dyDescent="0.2">
      <c r="H5" s="3" t="s">
        <v>486</v>
      </c>
      <c r="I5" s="557">
        <f>[5]Summary!$J$5</f>
        <v>407.28590000000003</v>
      </c>
      <c r="J5" s="557">
        <v>421.56110000000001</v>
      </c>
    </row>
    <row r="6" spans="1:14" x14ac:dyDescent="0.2">
      <c r="A6" s="426"/>
      <c r="B6" s="427" t="s">
        <v>487</v>
      </c>
    </row>
    <row r="8" spans="1:14" ht="15" customHeight="1" x14ac:dyDescent="0.2">
      <c r="A8" s="428"/>
      <c r="B8" s="429"/>
      <c r="C8" s="430" t="s">
        <v>488</v>
      </c>
      <c r="D8" s="856" t="s">
        <v>489</v>
      </c>
      <c r="E8" s="431"/>
      <c r="F8" s="432"/>
      <c r="G8" s="852" t="s">
        <v>490</v>
      </c>
      <c r="H8" s="854" t="s">
        <v>491</v>
      </c>
      <c r="I8" s="432"/>
      <c r="J8" s="432"/>
      <c r="K8" s="433"/>
    </row>
    <row r="9" spans="1:14" x14ac:dyDescent="0.2">
      <c r="A9" s="434"/>
      <c r="B9" s="435" t="s">
        <v>193</v>
      </c>
      <c r="C9" s="436" t="s">
        <v>193</v>
      </c>
      <c r="D9" s="857"/>
      <c r="E9" s="437"/>
      <c r="F9" s="438"/>
      <c r="G9" s="853"/>
      <c r="H9" s="853"/>
      <c r="I9" s="438" t="s">
        <v>320</v>
      </c>
      <c r="J9" s="438" t="s">
        <v>492</v>
      </c>
      <c r="K9" s="439" t="s">
        <v>196</v>
      </c>
    </row>
    <row r="10" spans="1:14" x14ac:dyDescent="0.2">
      <c r="A10" s="440" t="s">
        <v>493</v>
      </c>
      <c r="B10" s="441" t="s">
        <v>494</v>
      </c>
      <c r="C10" s="442" t="s">
        <v>494</v>
      </c>
      <c r="D10" s="858"/>
      <c r="E10" s="443" t="s">
        <v>495</v>
      </c>
      <c r="F10" s="444" t="s">
        <v>322</v>
      </c>
      <c r="G10" s="853"/>
      <c r="H10" s="853"/>
      <c r="I10" s="444" t="s">
        <v>324</v>
      </c>
      <c r="J10" s="444" t="s">
        <v>496</v>
      </c>
      <c r="K10" s="445" t="s">
        <v>494</v>
      </c>
      <c r="M10" s="422" t="s">
        <v>497</v>
      </c>
    </row>
    <row r="11" spans="1:14" x14ac:dyDescent="0.2">
      <c r="A11" s="446" t="s">
        <v>498</v>
      </c>
      <c r="B11" s="447"/>
      <c r="C11" s="448"/>
      <c r="D11" s="448"/>
      <c r="E11" s="449"/>
      <c r="F11" s="450"/>
      <c r="G11" s="451">
        <f>'Page 2'!I23</f>
        <v>3401606</v>
      </c>
      <c r="H11" s="452">
        <f>'Page 2'!J23</f>
        <v>4047981</v>
      </c>
      <c r="I11" s="453"/>
      <c r="J11" s="450"/>
      <c r="K11" s="447"/>
      <c r="M11" s="422" t="s">
        <v>1164</v>
      </c>
    </row>
    <row r="12" spans="1:14" x14ac:dyDescent="0.2">
      <c r="A12" s="446" t="s">
        <v>499</v>
      </c>
      <c r="B12" s="447"/>
      <c r="C12" s="447"/>
      <c r="D12" s="447"/>
      <c r="E12" s="454"/>
      <c r="F12" s="450"/>
      <c r="G12" s="451">
        <f>'Page 2'!I37</f>
        <v>150034</v>
      </c>
      <c r="H12" s="455">
        <f>'Page 2'!J37</f>
        <v>172648</v>
      </c>
      <c r="I12" s="453"/>
      <c r="J12" s="450"/>
      <c r="K12" s="447"/>
      <c r="M12" s="456">
        <v>-1</v>
      </c>
      <c r="N12" s="423" t="str">
        <f>"The Charter "&amp;IF('Project balance reserves'!F26="Yes","has","does not have")&amp;" an adopted policy establishing a reserve balance for FY 2024."</f>
        <v>The Charter does not have an adopted policy establishing a reserve balance for FY 2024.</v>
      </c>
    </row>
    <row r="13" spans="1:14" x14ac:dyDescent="0.2">
      <c r="A13" s="446" t="s">
        <v>500</v>
      </c>
      <c r="B13" s="447"/>
      <c r="C13" s="447"/>
      <c r="D13" s="447"/>
      <c r="E13" s="454"/>
      <c r="F13" s="450"/>
      <c r="G13" s="457">
        <f>'Page 2'!I38</f>
        <v>18032</v>
      </c>
      <c r="H13" s="455">
        <f>'Page 2'!J38</f>
        <v>75474</v>
      </c>
      <c r="I13" s="453"/>
      <c r="J13" s="450"/>
      <c r="K13" s="447"/>
    </row>
    <row r="14" spans="1:14" x14ac:dyDescent="0.2">
      <c r="A14" s="446" t="s">
        <v>501</v>
      </c>
      <c r="B14" s="447"/>
      <c r="C14" s="447"/>
      <c r="D14" s="447"/>
      <c r="E14" s="454"/>
      <c r="F14" s="450"/>
      <c r="G14" s="457">
        <f>'Page 2'!I39</f>
        <v>0</v>
      </c>
      <c r="H14" s="455">
        <f>'Page 2'!J39</f>
        <v>0</v>
      </c>
      <c r="I14" s="453"/>
      <c r="J14" s="450"/>
      <c r="K14" s="447"/>
      <c r="M14" s="456">
        <v>-2</v>
      </c>
      <c r="N14" s="423" t="s">
        <v>1200</v>
      </c>
    </row>
    <row r="15" spans="1:14" x14ac:dyDescent="0.2">
      <c r="A15" s="458" t="s">
        <v>502</v>
      </c>
      <c r="B15" s="459"/>
      <c r="C15" s="459"/>
      <c r="D15" s="459"/>
      <c r="E15" s="460"/>
      <c r="F15" s="450"/>
      <c r="G15" s="461">
        <f>'Page 2'!I40</f>
        <v>0</v>
      </c>
      <c r="H15" s="462">
        <f>'Page 2'!J40</f>
        <v>0</v>
      </c>
      <c r="I15" s="453"/>
      <c r="J15" s="450"/>
      <c r="K15" s="447"/>
      <c r="N15" s="463">
        <f>'Project balance reserves'!D39</f>
        <v>0</v>
      </c>
    </row>
    <row r="16" spans="1:14" x14ac:dyDescent="0.2">
      <c r="A16" s="464" t="s">
        <v>503</v>
      </c>
      <c r="B16" s="459"/>
      <c r="C16" s="447"/>
      <c r="D16" s="447"/>
      <c r="E16" s="454"/>
      <c r="F16" s="465"/>
      <c r="G16" s="466">
        <f>'Page 2'!I41</f>
        <v>0</v>
      </c>
      <c r="H16" s="467">
        <f>'Page 2'!J41</f>
        <v>0</v>
      </c>
      <c r="I16" s="465"/>
      <c r="J16" s="450"/>
      <c r="K16" s="468"/>
    </row>
    <row r="17" spans="1:18" x14ac:dyDescent="0.2">
      <c r="A17" s="469" t="s">
        <v>504</v>
      </c>
      <c r="B17" s="676">
        <f>[4]Summary!$K$17</f>
        <v>1642197</v>
      </c>
      <c r="C17" s="476">
        <v>1004554</v>
      </c>
      <c r="D17" s="470">
        <f>'Page 1'!H40-SUM(D18:D23)</f>
        <v>3919631</v>
      </c>
      <c r="E17" s="454"/>
      <c r="F17" s="476">
        <v>0</v>
      </c>
      <c r="G17" s="555">
        <f>[6]!SP1000Total</f>
        <v>3569672</v>
      </c>
      <c r="H17" s="556">
        <f>TotExpSchoolwide</f>
        <v>4296103</v>
      </c>
      <c r="I17" s="476">
        <v>0</v>
      </c>
      <c r="J17" s="476">
        <v>0</v>
      </c>
      <c r="K17" s="471">
        <f>IF(C17="",B17,C17)+D17-E17-F17-I17-H17-J17</f>
        <v>628082</v>
      </c>
      <c r="M17" s="456"/>
    </row>
    <row r="18" spans="1:18" x14ac:dyDescent="0.2">
      <c r="A18" s="469" t="s">
        <v>505</v>
      </c>
      <c r="B18" s="470">
        <f>'Page 3'!F24</f>
        <v>0</v>
      </c>
      <c r="C18" s="553">
        <v>0</v>
      </c>
      <c r="D18" s="471">
        <f>'Page 3'!F27</f>
        <v>367243</v>
      </c>
      <c r="E18" s="454"/>
      <c r="F18" s="476">
        <v>0</v>
      </c>
      <c r="G18" s="472">
        <f>'Page 3'!J13+'Page 3'!F18</f>
        <v>357926</v>
      </c>
      <c r="H18" s="669">
        <f>'Page 3'!G18+'Page 3'!K13</f>
        <v>367243</v>
      </c>
      <c r="I18" s="470">
        <f>'Page 3'!G17</f>
        <v>0</v>
      </c>
      <c r="J18" s="470">
        <f>'Page 3'!G19</f>
        <v>0</v>
      </c>
      <c r="K18" s="471">
        <f>IF(C18="",B18,C18)+D18-E18-F18-I18-H18-J18</f>
        <v>0</v>
      </c>
      <c r="N18" s="675"/>
    </row>
    <row r="19" spans="1:18" x14ac:dyDescent="0.2">
      <c r="A19" s="469" t="s">
        <v>506</v>
      </c>
      <c r="B19" s="470">
        <f>'Page 4'!F15</f>
        <v>0</v>
      </c>
      <c r="C19" s="553">
        <v>0</v>
      </c>
      <c r="D19" s="471">
        <f>'Page 4'!F16</f>
        <v>30480</v>
      </c>
      <c r="E19" s="454"/>
      <c r="F19" s="476">
        <v>0</v>
      </c>
      <c r="G19" s="554">
        <f>'Page 4'!H11</f>
        <v>19064</v>
      </c>
      <c r="H19" s="471">
        <f>'Page 4'!I11</f>
        <v>30480</v>
      </c>
      <c r="I19" s="453"/>
      <c r="J19" s="453"/>
      <c r="K19" s="471">
        <f t="shared" ref="K19:K23" si="0">IF(C19="",B19,C19)+D19-E19-F19-I19-H19-J19</f>
        <v>0</v>
      </c>
    </row>
    <row r="20" spans="1:18" x14ac:dyDescent="0.2">
      <c r="A20" s="469" t="s">
        <v>507</v>
      </c>
      <c r="B20" s="470">
        <f>'Page 5'!F26</f>
        <v>0</v>
      </c>
      <c r="C20" s="553">
        <v>0</v>
      </c>
      <c r="D20" s="471">
        <f>'Page 5'!G26</f>
        <v>0</v>
      </c>
      <c r="E20" s="454"/>
      <c r="F20" s="476">
        <v>0</v>
      </c>
      <c r="G20" s="554">
        <f>'Page 5'!M26</f>
        <v>0</v>
      </c>
      <c r="H20" s="471">
        <f>'Page 5'!N26</f>
        <v>0</v>
      </c>
      <c r="I20" s="453"/>
      <c r="J20" s="453"/>
      <c r="K20" s="471">
        <f t="shared" si="0"/>
        <v>0</v>
      </c>
      <c r="M20" s="456"/>
      <c r="N20" s="673"/>
      <c r="P20" s="475"/>
    </row>
    <row r="21" spans="1:18" x14ac:dyDescent="0.2">
      <c r="A21" s="469" t="s">
        <v>508</v>
      </c>
      <c r="B21" s="470">
        <f>'Page 5'!F48</f>
        <v>0</v>
      </c>
      <c r="C21" s="553">
        <v>0</v>
      </c>
      <c r="D21" s="471">
        <f>'Page 5'!G48</f>
        <v>0</v>
      </c>
      <c r="E21" s="454"/>
      <c r="F21" s="476">
        <v>0</v>
      </c>
      <c r="G21" s="554">
        <f>'Page 5'!M48</f>
        <v>0</v>
      </c>
      <c r="H21" s="471">
        <f>'Page 5'!N48</f>
        <v>0</v>
      </c>
      <c r="I21" s="453"/>
      <c r="J21" s="453"/>
      <c r="K21" s="471">
        <f t="shared" si="0"/>
        <v>0</v>
      </c>
      <c r="Q21" s="475"/>
      <c r="R21" s="475"/>
    </row>
    <row r="22" spans="1:18" x14ac:dyDescent="0.2">
      <c r="A22" s="469" t="s">
        <v>509</v>
      </c>
      <c r="B22" s="471">
        <f>'Page 8'!E23</f>
        <v>4065</v>
      </c>
      <c r="C22" s="471">
        <f>'Page 8'!F23</f>
        <v>-185</v>
      </c>
      <c r="D22" s="471">
        <f>'Page 8'!G23</f>
        <v>889127</v>
      </c>
      <c r="E22" s="587">
        <f>'Page 8'!H23</f>
        <v>133851</v>
      </c>
      <c r="F22" s="470">
        <f>'Page 8'!I23</f>
        <v>0</v>
      </c>
      <c r="G22" s="554">
        <f>'Page 8'!J23</f>
        <v>558677</v>
      </c>
      <c r="H22" s="471">
        <f>'Page 8'!K23</f>
        <v>755091</v>
      </c>
      <c r="I22" s="472">
        <f>'Page 8'!M23</f>
        <v>0</v>
      </c>
      <c r="J22" s="470">
        <f>'Page 8'!L23</f>
        <v>0</v>
      </c>
      <c r="K22" s="471">
        <f t="shared" si="0"/>
        <v>0</v>
      </c>
      <c r="N22" s="475"/>
      <c r="O22" s="475"/>
      <c r="P22" s="475"/>
      <c r="Q22" s="475"/>
      <c r="R22" s="475"/>
    </row>
    <row r="23" spans="1:18" x14ac:dyDescent="0.2">
      <c r="A23" s="469" t="s">
        <v>510</v>
      </c>
      <c r="B23" s="471">
        <f>'Page 8'!E40</f>
        <v>0</v>
      </c>
      <c r="C23" s="471">
        <f>'Page 8'!F40</f>
        <v>0</v>
      </c>
      <c r="D23" s="471">
        <f>'Page 8'!G40</f>
        <v>35303</v>
      </c>
      <c r="E23" s="454"/>
      <c r="F23" s="470">
        <f>'Page 8'!I40</f>
        <v>0</v>
      </c>
      <c r="G23" s="474">
        <f>'Page 8'!J40</f>
        <v>0</v>
      </c>
      <c r="H23" s="473">
        <f>'Page 8'!K40</f>
        <v>35303</v>
      </c>
      <c r="I23" s="470">
        <f>'Page 8'!M40</f>
        <v>0</v>
      </c>
      <c r="J23" s="470">
        <f>'Page 8'!L40</f>
        <v>0</v>
      </c>
      <c r="K23" s="471">
        <f t="shared" si="0"/>
        <v>0</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zoomScaleNormal="100" workbookViewId="0">
      <selection activeCell="C10" sqref="C10"/>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1" customFormat="1" x14ac:dyDescent="0.2">
      <c r="B1" s="330" t="s">
        <v>0</v>
      </c>
      <c r="C1" s="635" t="str">
        <f>'Cover Page'!D1</f>
        <v>ASU Preparatory Academy - Phoenix Middle School</v>
      </c>
      <c r="D1" s="635"/>
      <c r="E1" s="635"/>
      <c r="G1" s="330" t="s">
        <v>1</v>
      </c>
      <c r="H1" s="815" t="str">
        <f>'Cover Page'!M1</f>
        <v>Maricopa</v>
      </c>
      <c r="I1" s="815"/>
      <c r="J1" s="332"/>
      <c r="K1" s="330" t="s">
        <v>2</v>
      </c>
      <c r="L1" s="333" t="str">
        <f>'Cover Page'!R1</f>
        <v>078250000</v>
      </c>
      <c r="M1" s="334"/>
      <c r="N1" s="334"/>
      <c r="O1" s="335"/>
      <c r="P1" s="336"/>
      <c r="R1" s="337"/>
      <c r="S1" s="337"/>
      <c r="T1" s="337"/>
      <c r="U1" s="337"/>
      <c r="V1" s="338"/>
      <c r="W1" s="338"/>
      <c r="X1" s="338"/>
      <c r="Y1" s="338"/>
      <c r="Z1" s="338"/>
      <c r="AA1" s="338"/>
      <c r="AB1" s="338"/>
      <c r="AC1" s="338"/>
      <c r="AD1" s="339"/>
      <c r="AE1" s="339"/>
      <c r="AF1" s="339"/>
      <c r="AG1" s="339"/>
      <c r="AH1" s="339"/>
      <c r="AI1" s="339"/>
      <c r="AJ1" s="337"/>
      <c r="AK1" s="337"/>
      <c r="AL1" s="337"/>
      <c r="AM1" s="337"/>
      <c r="AN1" s="337"/>
      <c r="AO1" s="337"/>
      <c r="AP1" s="337"/>
      <c r="AQ1" s="337"/>
      <c r="AR1" s="337"/>
      <c r="AS1" s="337"/>
      <c r="AT1" s="337"/>
      <c r="AU1" s="337"/>
      <c r="AV1" s="337"/>
    </row>
    <row r="2" spans="1:67" s="331" customFormat="1" x14ac:dyDescent="0.2">
      <c r="B2" s="330"/>
      <c r="C2" s="334"/>
      <c r="D2" s="334"/>
      <c r="E2" s="334"/>
      <c r="G2" s="330"/>
      <c r="H2" s="334"/>
      <c r="I2" s="334"/>
      <c r="J2" s="332"/>
      <c r="K2" s="330"/>
      <c r="L2" s="477"/>
      <c r="M2" s="334"/>
      <c r="N2" s="334"/>
      <c r="O2" s="335"/>
      <c r="P2" s="336"/>
      <c r="R2" s="337"/>
      <c r="S2" s="337"/>
      <c r="T2" s="337"/>
      <c r="U2" s="337"/>
      <c r="V2" s="338"/>
      <c r="W2" s="338"/>
      <c r="X2" s="338"/>
      <c r="Y2" s="338"/>
      <c r="Z2" s="338"/>
      <c r="AA2" s="338"/>
      <c r="AB2" s="338"/>
      <c r="AC2" s="338"/>
      <c r="AD2" s="339"/>
      <c r="AE2" s="339"/>
      <c r="AF2" s="339"/>
      <c r="AG2" s="339"/>
      <c r="AH2" s="339"/>
      <c r="AI2" s="339"/>
      <c r="AJ2" s="337"/>
      <c r="AK2" s="337"/>
      <c r="AL2" s="337"/>
      <c r="AM2" s="337"/>
      <c r="AN2" s="337"/>
      <c r="AO2" s="337"/>
      <c r="AP2" s="337"/>
      <c r="AQ2" s="337"/>
      <c r="AR2" s="337"/>
      <c r="AS2" s="337"/>
      <c r="AT2" s="337"/>
      <c r="AU2" s="337"/>
      <c r="AV2" s="337"/>
    </row>
    <row r="3" spans="1:67" s="478" customFormat="1" ht="24.75" customHeight="1" x14ac:dyDescent="0.2">
      <c r="A3" s="862" t="s">
        <v>1148</v>
      </c>
      <c r="B3" s="862"/>
      <c r="C3" s="862"/>
      <c r="D3" s="862"/>
      <c r="E3" s="862"/>
      <c r="F3" s="862"/>
      <c r="G3" s="862"/>
      <c r="H3" s="862"/>
      <c r="J3" s="479"/>
      <c r="K3" s="480"/>
      <c r="L3" s="481"/>
      <c r="Q3" s="482"/>
      <c r="R3" s="483"/>
      <c r="S3" s="483"/>
      <c r="T3" s="483"/>
      <c r="U3" s="483"/>
      <c r="V3" s="483"/>
      <c r="W3" s="483"/>
      <c r="X3" s="483"/>
      <c r="Y3" s="483"/>
      <c r="Z3" s="483"/>
      <c r="AA3" s="483"/>
      <c r="AB3" s="483"/>
      <c r="AC3" s="483"/>
      <c r="AD3" s="483"/>
      <c r="AE3" s="483"/>
      <c r="AF3" s="483"/>
      <c r="AG3" s="484"/>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3"/>
      <c r="BN3" s="483"/>
      <c r="BO3" s="483"/>
    </row>
    <row r="4" spans="1:67" s="478" customFormat="1" ht="16.5" customHeight="1" x14ac:dyDescent="0.2">
      <c r="A4" s="485"/>
      <c r="B4" s="485"/>
      <c r="C4" s="485"/>
      <c r="D4" s="485"/>
      <c r="E4" s="485"/>
      <c r="F4" s="485"/>
      <c r="G4" s="485"/>
      <c r="H4" s="485"/>
      <c r="J4" s="479"/>
      <c r="K4" s="480"/>
      <c r="L4" s="481"/>
      <c r="Q4" s="482"/>
      <c r="R4" s="483"/>
      <c r="S4" s="483"/>
      <c r="T4" s="483"/>
      <c r="U4" s="483"/>
      <c r="V4" s="483"/>
      <c r="W4" s="483"/>
      <c r="X4" s="483"/>
      <c r="Y4" s="483"/>
      <c r="Z4" s="483"/>
      <c r="AA4" s="483"/>
      <c r="AB4" s="483"/>
      <c r="AC4" s="483"/>
      <c r="AD4" s="483"/>
      <c r="AE4" s="483"/>
      <c r="AF4" s="483"/>
      <c r="AG4" s="484"/>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row>
    <row r="5" spans="1:67" x14ac:dyDescent="0.2">
      <c r="A5" s="859" t="s">
        <v>1144</v>
      </c>
      <c r="B5" s="859"/>
    </row>
    <row r="7" spans="1:67" x14ac:dyDescent="0.2">
      <c r="C7" s="486" t="s">
        <v>511</v>
      </c>
      <c r="R7" s="46" t="s">
        <v>512</v>
      </c>
    </row>
    <row r="8" spans="1:67" x14ac:dyDescent="0.2">
      <c r="A8" s="487" t="s">
        <v>1149</v>
      </c>
      <c r="C8" s="488"/>
    </row>
    <row r="9" spans="1:67" x14ac:dyDescent="0.2">
      <c r="A9" s="489" t="s">
        <v>24</v>
      </c>
      <c r="B9" s="490" t="s">
        <v>1201</v>
      </c>
      <c r="C9" s="471">
        <f>SUMIF(Summary!C17:C23,"",Summary!B17:B23)+SUMIF(Summary!C17:C23,"&lt;&gt;",Summary!C17:C23)</f>
        <v>1004369</v>
      </c>
    </row>
    <row r="10" spans="1:67" x14ac:dyDescent="0.2">
      <c r="A10" s="491" t="s">
        <v>1150</v>
      </c>
      <c r="C10" s="488"/>
    </row>
    <row r="11" spans="1:67" x14ac:dyDescent="0.2">
      <c r="A11" s="489" t="s">
        <v>26</v>
      </c>
      <c r="B11" s="490" t="s">
        <v>1202</v>
      </c>
      <c r="C11" s="471">
        <f>SUM(Summary!K17:K23)</f>
        <v>628082</v>
      </c>
    </row>
    <row r="12" spans="1:67" x14ac:dyDescent="0.2">
      <c r="A12" s="859" t="s">
        <v>1207</v>
      </c>
      <c r="B12" s="859"/>
    </row>
    <row r="13" spans="1:67" x14ac:dyDescent="0.2">
      <c r="A13" s="489" t="s">
        <v>513</v>
      </c>
      <c r="B13" s="490" t="s">
        <v>514</v>
      </c>
      <c r="C13" s="102">
        <v>0</v>
      </c>
    </row>
    <row r="14" spans="1:67" x14ac:dyDescent="0.2">
      <c r="A14" s="489" t="s">
        <v>515</v>
      </c>
      <c r="B14" s="685" t="s">
        <v>1203</v>
      </c>
      <c r="C14" s="102">
        <f>C11</f>
        <v>628082</v>
      </c>
    </row>
    <row r="15" spans="1:67" x14ac:dyDescent="0.2">
      <c r="A15" s="489" t="s">
        <v>516</v>
      </c>
      <c r="B15" t="s">
        <v>1204</v>
      </c>
      <c r="C15" s="102">
        <v>0</v>
      </c>
    </row>
    <row r="16" spans="1:67" x14ac:dyDescent="0.2">
      <c r="A16" s="489" t="s">
        <v>517</v>
      </c>
      <c r="B16" t="s">
        <v>1205</v>
      </c>
      <c r="C16" s="102">
        <v>0</v>
      </c>
    </row>
    <row r="17" spans="1:27" x14ac:dyDescent="0.2">
      <c r="A17" s="489" t="s">
        <v>518</v>
      </c>
      <c r="B17" t="s">
        <v>1206</v>
      </c>
      <c r="C17" s="102">
        <v>0</v>
      </c>
    </row>
    <row r="18" spans="1:27" x14ac:dyDescent="0.2">
      <c r="A18" s="489" t="s">
        <v>519</v>
      </c>
      <c r="B18" t="s">
        <v>520</v>
      </c>
      <c r="C18" s="102">
        <v>0</v>
      </c>
    </row>
    <row r="19" spans="1:27" x14ac:dyDescent="0.2">
      <c r="A19" s="489" t="s">
        <v>521</v>
      </c>
      <c r="B19" s="492" t="s">
        <v>522</v>
      </c>
      <c r="C19" s="102">
        <v>0</v>
      </c>
    </row>
    <row r="20" spans="1:27" x14ac:dyDescent="0.2">
      <c r="A20" s="3" t="s">
        <v>523</v>
      </c>
      <c r="B20" s="492" t="s">
        <v>522</v>
      </c>
      <c r="C20" s="102">
        <v>0</v>
      </c>
    </row>
    <row r="21" spans="1:27" x14ac:dyDescent="0.2">
      <c r="A21" s="3" t="s">
        <v>524</v>
      </c>
      <c r="B21" t="s">
        <v>1145</v>
      </c>
      <c r="C21" s="554">
        <f>IF(ROUND(SUM(C13:C20),0)=ROUND(C11,0),SUM(C13:C20),"Must equal line 2")</f>
        <v>628082</v>
      </c>
    </row>
    <row r="22" spans="1:27" x14ac:dyDescent="0.2">
      <c r="A22" s="494"/>
    </row>
    <row r="23" spans="1:27" x14ac:dyDescent="0.2">
      <c r="A23" s="494"/>
    </row>
    <row r="24" spans="1:27" x14ac:dyDescent="0.2">
      <c r="A24" s="618"/>
      <c r="B24" s="618"/>
      <c r="D24" s="618"/>
      <c r="E24" s="618"/>
      <c r="F24" s="618"/>
      <c r="G24" s="618"/>
      <c r="H24" s="618"/>
    </row>
    <row r="25" spans="1:27" ht="39" customHeight="1" x14ac:dyDescent="0.2">
      <c r="A25" s="864" t="s">
        <v>1139</v>
      </c>
      <c r="B25" s="864"/>
      <c r="F25" s="663"/>
      <c r="G25" s="664" t="s">
        <v>1232</v>
      </c>
      <c r="H25" s="495"/>
      <c r="AA25" s="46" t="s">
        <v>525</v>
      </c>
    </row>
    <row r="26" spans="1:27" ht="28.5" customHeight="1" x14ac:dyDescent="0.2">
      <c r="A26" s="863" t="s">
        <v>24</v>
      </c>
      <c r="B26" s="866" t="s">
        <v>1229</v>
      </c>
      <c r="C26" s="866"/>
      <c r="D26" s="866"/>
      <c r="E26" s="867"/>
      <c r="F26" s="502" t="s">
        <v>526</v>
      </c>
      <c r="G26" s="670" t="s">
        <v>1349</v>
      </c>
      <c r="AA26" s="46" t="s">
        <v>526</v>
      </c>
    </row>
    <row r="27" spans="1:27" x14ac:dyDescent="0.2">
      <c r="A27" s="863"/>
      <c r="B27" s="666"/>
      <c r="C27" s="666"/>
      <c r="D27" s="666"/>
      <c r="E27" s="666"/>
      <c r="AA27" s="46" t="s">
        <v>526</v>
      </c>
    </row>
    <row r="28" spans="1:27" ht="44.25" customHeight="1" x14ac:dyDescent="0.2">
      <c r="A28" s="865" t="s">
        <v>1233</v>
      </c>
      <c r="B28" s="865"/>
      <c r="C28" s="865"/>
      <c r="D28" s="865"/>
      <c r="E28" s="865"/>
      <c r="F28" s="865"/>
    </row>
    <row r="29" spans="1:27" ht="20.25" customHeight="1" x14ac:dyDescent="0.2">
      <c r="A29" s="608" t="s">
        <v>26</v>
      </c>
      <c r="B29" s="860" t="s">
        <v>1140</v>
      </c>
      <c r="C29" s="860"/>
      <c r="D29" s="860"/>
      <c r="E29" s="861"/>
      <c r="F29" s="502" t="s">
        <v>525</v>
      </c>
      <c r="H29" s="495"/>
    </row>
    <row r="30" spans="1:27" ht="29.25" customHeight="1" x14ac:dyDescent="0.2">
      <c r="A30" s="608" t="s">
        <v>527</v>
      </c>
      <c r="B30" s="860" t="s">
        <v>1141</v>
      </c>
      <c r="C30" s="860"/>
      <c r="D30" s="860"/>
      <c r="E30" s="861"/>
      <c r="F30" s="502" t="s">
        <v>525</v>
      </c>
      <c r="G30" s="3"/>
      <c r="H30" s="671"/>
      <c r="AA30" s="46"/>
    </row>
    <row r="31" spans="1:27" ht="12" customHeight="1" x14ac:dyDescent="0.2">
      <c r="A31" s="496"/>
      <c r="B31" s="637"/>
      <c r="C31" s="637"/>
      <c r="D31" s="637"/>
      <c r="E31" s="637"/>
      <c r="F31" s="3"/>
      <c r="G31" s="3"/>
      <c r="H31" s="1"/>
      <c r="AA31" s="46"/>
    </row>
    <row r="32" spans="1:27" ht="15.75" customHeight="1" x14ac:dyDescent="0.2">
      <c r="A32" s="665" t="s">
        <v>1146</v>
      </c>
      <c r="B32" s="610"/>
      <c r="C32" s="610"/>
      <c r="D32" s="610"/>
      <c r="E32" s="610"/>
      <c r="F32" s="610"/>
      <c r="G32" s="497"/>
      <c r="H32" s="498"/>
    </row>
    <row r="33" spans="1:27" ht="11.25" customHeight="1" x14ac:dyDescent="0.2">
      <c r="A33" s="638"/>
      <c r="B33" s="592"/>
      <c r="C33" s="592"/>
      <c r="D33" s="592"/>
      <c r="E33" s="592"/>
      <c r="F33" s="592"/>
      <c r="G33" s="497"/>
      <c r="H33" s="498"/>
    </row>
    <row r="34" spans="1:27" ht="28.5" customHeight="1" x14ac:dyDescent="0.2">
      <c r="A34" s="609" t="s">
        <v>31</v>
      </c>
      <c r="B34" s="611" t="s">
        <v>528</v>
      </c>
      <c r="C34" s="611" t="s">
        <v>1151</v>
      </c>
      <c r="D34" s="611" t="s">
        <v>1152</v>
      </c>
      <c r="E34" s="874" t="s">
        <v>529</v>
      </c>
      <c r="F34" s="875"/>
      <c r="G34" s="875"/>
      <c r="H34" s="875"/>
      <c r="I34" s="875"/>
      <c r="J34" s="876"/>
    </row>
    <row r="35" spans="1:27" ht="39.75" customHeight="1" x14ac:dyDescent="0.2">
      <c r="A35" s="609"/>
      <c r="B35" s="677"/>
      <c r="C35" s="674"/>
      <c r="D35" s="102"/>
      <c r="E35" s="877"/>
      <c r="F35" s="878"/>
      <c r="G35" s="878"/>
      <c r="H35" s="878"/>
      <c r="I35" s="878"/>
      <c r="J35" s="879"/>
      <c r="AA35" s="46"/>
    </row>
    <row r="36" spans="1:27" ht="39.75" customHeight="1" x14ac:dyDescent="0.2">
      <c r="A36" s="609"/>
      <c r="B36" s="677"/>
      <c r="C36" s="674"/>
      <c r="D36" s="102"/>
      <c r="E36" s="877"/>
      <c r="F36" s="878"/>
      <c r="G36" s="878"/>
      <c r="H36" s="878"/>
      <c r="I36" s="878"/>
      <c r="J36" s="879"/>
    </row>
    <row r="37" spans="1:27" ht="39.75" customHeight="1" x14ac:dyDescent="0.2">
      <c r="A37" s="609"/>
      <c r="B37" s="677"/>
      <c r="C37" s="674"/>
      <c r="D37" s="102"/>
      <c r="E37" s="877"/>
      <c r="F37" s="878"/>
      <c r="G37" s="878"/>
      <c r="H37" s="878"/>
      <c r="I37" s="878"/>
      <c r="J37" s="879"/>
      <c r="AA37" s="46"/>
    </row>
    <row r="38" spans="1:27" ht="39.75" customHeight="1" x14ac:dyDescent="0.2">
      <c r="A38" s="609"/>
      <c r="B38" s="677"/>
      <c r="C38" s="674"/>
      <c r="D38" s="102"/>
      <c r="E38" s="877"/>
      <c r="F38" s="878"/>
      <c r="G38" s="878"/>
      <c r="H38" s="878"/>
      <c r="I38" s="878"/>
      <c r="J38" s="879"/>
      <c r="K38" s="499"/>
      <c r="L38" s="499"/>
      <c r="M38" s="499"/>
      <c r="N38" s="499"/>
      <c r="O38" s="499"/>
      <c r="P38" s="499"/>
    </row>
    <row r="39" spans="1:27" ht="16.5" customHeight="1" x14ac:dyDescent="0.2">
      <c r="A39" s="638"/>
      <c r="B39" s="612" t="s">
        <v>530</v>
      </c>
      <c r="C39" s="493">
        <f>SUM(C35:C38)</f>
        <v>0</v>
      </c>
      <c r="D39" s="597">
        <f>SUM(D35:D38)</f>
        <v>0</v>
      </c>
      <c r="E39" s="500"/>
      <c r="F39" s="490"/>
      <c r="G39" s="490"/>
      <c r="H39" s="490"/>
      <c r="I39" s="490"/>
      <c r="K39" s="499"/>
      <c r="L39" s="499"/>
      <c r="M39" s="499"/>
      <c r="N39" s="499"/>
      <c r="O39" s="499"/>
      <c r="P39" s="499"/>
    </row>
    <row r="40" spans="1:27" ht="16.5" customHeight="1" x14ac:dyDescent="0.2">
      <c r="A40" s="638"/>
      <c r="B40" s="637"/>
      <c r="C40" s="637"/>
      <c r="D40" s="500"/>
      <c r="E40" s="500"/>
      <c r="F40" s="490"/>
      <c r="G40" s="490"/>
      <c r="H40" s="490"/>
      <c r="I40" s="490"/>
      <c r="K40" s="499"/>
      <c r="L40" s="499"/>
      <c r="M40" s="499"/>
      <c r="N40" s="499"/>
      <c r="O40" s="499"/>
      <c r="P40" s="499"/>
    </row>
    <row r="41" spans="1:27" ht="19.5" customHeight="1" x14ac:dyDescent="0.2">
      <c r="A41" s="609" t="s">
        <v>33</v>
      </c>
      <c r="B41" s="178" t="s">
        <v>1147</v>
      </c>
      <c r="C41" s="178"/>
      <c r="D41" s="178"/>
      <c r="E41" s="178"/>
      <c r="F41" s="178"/>
      <c r="G41" s="178"/>
      <c r="H41" s="178"/>
      <c r="I41" s="178"/>
      <c r="K41" s="499"/>
      <c r="L41" s="499"/>
      <c r="M41" s="499"/>
      <c r="N41" s="499"/>
      <c r="O41" s="499"/>
      <c r="P41" s="499"/>
    </row>
    <row r="42" spans="1:27" x14ac:dyDescent="0.2">
      <c r="A42" s="501"/>
      <c r="B42" s="868" t="s">
        <v>1350</v>
      </c>
      <c r="C42" s="869"/>
      <c r="D42" s="869"/>
      <c r="E42" s="869"/>
      <c r="F42" s="869"/>
      <c r="G42" s="869"/>
      <c r="H42" s="869"/>
      <c r="I42" s="869"/>
    </row>
    <row r="43" spans="1:27" x14ac:dyDescent="0.2">
      <c r="A43" s="613"/>
      <c r="B43" s="870"/>
      <c r="C43" s="871"/>
      <c r="D43" s="871"/>
      <c r="E43" s="871"/>
      <c r="F43" s="871"/>
      <c r="G43" s="871"/>
      <c r="H43" s="871"/>
      <c r="I43" s="871"/>
    </row>
    <row r="44" spans="1:27" ht="12.75" customHeight="1" x14ac:dyDescent="0.2">
      <c r="A44" s="613"/>
      <c r="B44" s="870"/>
      <c r="C44" s="871"/>
      <c r="D44" s="871"/>
      <c r="E44" s="871"/>
      <c r="F44" s="871"/>
      <c r="G44" s="871"/>
      <c r="H44" s="871"/>
      <c r="I44" s="871"/>
      <c r="AA44" s="46"/>
    </row>
    <row r="45" spans="1:27" x14ac:dyDescent="0.2">
      <c r="A45" s="613"/>
      <c r="B45" s="870"/>
      <c r="C45" s="871"/>
      <c r="D45" s="871"/>
      <c r="E45" s="871"/>
      <c r="F45" s="871"/>
      <c r="G45" s="871"/>
      <c r="H45" s="871"/>
      <c r="I45" s="871"/>
    </row>
    <row r="46" spans="1:27" x14ac:dyDescent="0.2">
      <c r="A46" s="613"/>
      <c r="B46" s="872"/>
      <c r="C46" s="873"/>
      <c r="D46" s="873"/>
      <c r="E46" s="873"/>
      <c r="F46" s="873"/>
      <c r="G46" s="873"/>
      <c r="H46" s="873"/>
      <c r="I46" s="873"/>
    </row>
  </sheetData>
  <mergeCells count="16">
    <mergeCell ref="B42:I46"/>
    <mergeCell ref="E34:J34"/>
    <mergeCell ref="E35:J35"/>
    <mergeCell ref="E36:J36"/>
    <mergeCell ref="E37:J37"/>
    <mergeCell ref="E38:J38"/>
    <mergeCell ref="H1:I1"/>
    <mergeCell ref="A5:B5"/>
    <mergeCell ref="B30:E30"/>
    <mergeCell ref="A3:H3"/>
    <mergeCell ref="A12:B12"/>
    <mergeCell ref="A26:A27"/>
    <mergeCell ref="A25:B25"/>
    <mergeCell ref="A28:F28"/>
    <mergeCell ref="B29:E29"/>
    <mergeCell ref="B26:E26"/>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disablePrompts="1"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E10" sqref="E10"/>
    </sheetView>
  </sheetViews>
  <sheetFormatPr defaultColWidth="9.6640625" defaultRowHeight="15" x14ac:dyDescent="0.25"/>
  <cols>
    <col min="1" max="1" width="25.6640625" style="508" customWidth="1"/>
    <col min="2" max="2" width="76.6640625" style="508" customWidth="1"/>
    <col min="3" max="4" width="23.6640625" style="508" customWidth="1"/>
    <col min="5" max="6" width="26.83203125" style="508" customWidth="1"/>
    <col min="7" max="7" width="45.83203125" style="508" customWidth="1"/>
    <col min="8" max="11" width="9.6640625" style="508" customWidth="1"/>
    <col min="12" max="12" width="8.83203125" style="508" hidden="1" customWidth="1"/>
    <col min="13" max="16" width="9.6640625" style="508" customWidth="1"/>
    <col min="17" max="16384" width="9.6640625" style="508"/>
  </cols>
  <sheetData>
    <row r="1" spans="1:12" x14ac:dyDescent="0.25">
      <c r="A1" s="506" t="s">
        <v>4</v>
      </c>
      <c r="B1" s="507" t="str">
        <f>'Cover Page'!D1</f>
        <v>ASU Preparatory Academy - Phoenix Middle School</v>
      </c>
    </row>
    <row r="2" spans="1:12" x14ac:dyDescent="0.25">
      <c r="A2" s="509" t="s">
        <v>2</v>
      </c>
      <c r="B2" s="510" t="str">
        <f>'Cover Page'!R1</f>
        <v>078250000</v>
      </c>
    </row>
    <row r="3" spans="1:12" x14ac:dyDescent="0.25">
      <c r="A3" s="509" t="s">
        <v>1</v>
      </c>
      <c r="B3" s="507" t="str">
        <f>'Cover Page'!M1</f>
        <v>Maricopa</v>
      </c>
    </row>
    <row r="4" spans="1:12" x14ac:dyDescent="0.25">
      <c r="D4" s="880" t="s">
        <v>541</v>
      </c>
      <c r="E4" s="881"/>
      <c r="F4" s="881"/>
      <c r="G4" s="882"/>
    </row>
    <row r="6" spans="1:12" ht="43.5" x14ac:dyDescent="0.25">
      <c r="A6" s="511" t="s">
        <v>542</v>
      </c>
      <c r="B6" s="512" t="s">
        <v>543</v>
      </c>
      <c r="C6" s="511" t="s">
        <v>544</v>
      </c>
      <c r="D6" s="513" t="s">
        <v>545</v>
      </c>
      <c r="E6" s="511" t="s">
        <v>546</v>
      </c>
      <c r="F6" s="511" t="s">
        <v>547</v>
      </c>
      <c r="G6" s="511" t="s">
        <v>548</v>
      </c>
    </row>
    <row r="7" spans="1:12" x14ac:dyDescent="0.25">
      <c r="A7" s="514" t="s">
        <v>549</v>
      </c>
      <c r="B7" s="515" t="s">
        <v>549</v>
      </c>
      <c r="C7" s="516" t="str">
        <f>B2</f>
        <v>078250000</v>
      </c>
      <c r="D7" s="7"/>
      <c r="E7" s="5"/>
      <c r="F7" s="8"/>
      <c r="G7" s="9"/>
      <c r="L7" s="508" t="s">
        <v>550</v>
      </c>
    </row>
    <row r="8" spans="1:12" ht="13.5" customHeight="1" x14ac:dyDescent="0.25">
      <c r="A8" s="520" t="s">
        <v>551</v>
      </c>
      <c r="B8" s="521"/>
      <c r="C8" s="521"/>
      <c r="D8" s="521"/>
      <c r="E8" s="5"/>
      <c r="F8" s="8"/>
      <c r="G8" s="5"/>
      <c r="L8" s="508" t="s">
        <v>552</v>
      </c>
    </row>
    <row r="9" spans="1:12" x14ac:dyDescent="0.25">
      <c r="A9" s="514" t="s">
        <v>553</v>
      </c>
      <c r="B9" s="521"/>
      <c r="C9" s="521"/>
      <c r="D9" s="521"/>
      <c r="E9" s="521"/>
      <c r="F9" s="8"/>
      <c r="G9" s="521"/>
      <c r="L9" s="508" t="s">
        <v>554</v>
      </c>
    </row>
    <row r="10" spans="1:12" x14ac:dyDescent="0.25">
      <c r="A10" s="514" t="s">
        <v>555</v>
      </c>
      <c r="B10" s="5" t="s">
        <v>1346</v>
      </c>
      <c r="C10" s="6" t="s">
        <v>1348</v>
      </c>
      <c r="D10" s="7"/>
      <c r="E10" s="5">
        <v>102</v>
      </c>
      <c r="F10" s="8">
        <v>300</v>
      </c>
      <c r="G10" s="9"/>
      <c r="L10" s="508" t="s">
        <v>556</v>
      </c>
    </row>
    <row r="11" spans="1:12" x14ac:dyDescent="0.25">
      <c r="A11" s="514" t="s">
        <v>557</v>
      </c>
      <c r="B11" s="5"/>
      <c r="C11" s="6"/>
      <c r="D11" s="7"/>
      <c r="E11" s="5"/>
      <c r="F11" s="8"/>
      <c r="G11" s="9"/>
      <c r="L11" s="508" t="s">
        <v>558</v>
      </c>
    </row>
    <row r="12" spans="1:12" x14ac:dyDescent="0.25">
      <c r="A12" s="514" t="s">
        <v>559</v>
      </c>
      <c r="B12" s="5"/>
      <c r="C12" s="6"/>
      <c r="D12" s="7"/>
      <c r="E12" s="5"/>
      <c r="F12" s="8"/>
      <c r="G12" s="9"/>
      <c r="L12" s="508" t="s">
        <v>560</v>
      </c>
    </row>
    <row r="13" spans="1:12" x14ac:dyDescent="0.25">
      <c r="A13" s="514" t="s">
        <v>561</v>
      </c>
      <c r="B13" s="5"/>
      <c r="C13" s="6"/>
      <c r="D13" s="7"/>
      <c r="E13" s="5"/>
      <c r="F13" s="8"/>
      <c r="G13" s="9"/>
      <c r="L13" s="508" t="s">
        <v>562</v>
      </c>
    </row>
    <row r="14" spans="1:12" x14ac:dyDescent="0.25">
      <c r="A14" s="514" t="s">
        <v>563</v>
      </c>
      <c r="B14" s="5"/>
      <c r="C14" s="6"/>
      <c r="D14" s="7"/>
      <c r="E14" s="5"/>
      <c r="F14" s="8"/>
      <c r="G14" s="9"/>
      <c r="L14" s="508" t="s">
        <v>564</v>
      </c>
    </row>
    <row r="15" spans="1:12" x14ac:dyDescent="0.25">
      <c r="A15" s="514" t="s">
        <v>565</v>
      </c>
      <c r="B15" s="5"/>
      <c r="C15" s="6"/>
      <c r="D15" s="7"/>
      <c r="E15" s="5"/>
      <c r="F15" s="8"/>
      <c r="G15" s="9"/>
      <c r="L15" s="508" t="s">
        <v>566</v>
      </c>
    </row>
    <row r="16" spans="1:12" x14ac:dyDescent="0.25">
      <c r="A16" s="514" t="s">
        <v>567</v>
      </c>
      <c r="B16" s="5"/>
      <c r="C16" s="6"/>
      <c r="D16" s="7"/>
      <c r="E16" s="5"/>
      <c r="F16" s="8"/>
      <c r="G16" s="9"/>
      <c r="L16" s="508" t="s">
        <v>568</v>
      </c>
    </row>
    <row r="17" spans="1:12" x14ac:dyDescent="0.25">
      <c r="A17" s="514" t="s">
        <v>569</v>
      </c>
      <c r="B17" s="5"/>
      <c r="C17" s="6"/>
      <c r="D17" s="7"/>
      <c r="E17" s="5"/>
      <c r="F17" s="8"/>
      <c r="G17" s="9"/>
      <c r="L17" s="508" t="s">
        <v>570</v>
      </c>
    </row>
    <row r="18" spans="1:12" x14ac:dyDescent="0.25">
      <c r="A18" s="514" t="s">
        <v>571</v>
      </c>
      <c r="B18" s="5"/>
      <c r="C18" s="6"/>
      <c r="D18" s="7"/>
      <c r="E18" s="5"/>
      <c r="F18" s="8"/>
      <c r="G18" s="9"/>
      <c r="L18" s="508" t="s">
        <v>572</v>
      </c>
    </row>
    <row r="19" spans="1:12" x14ac:dyDescent="0.25">
      <c r="A19" s="514" t="s">
        <v>573</v>
      </c>
      <c r="B19" s="5"/>
      <c r="C19" s="6"/>
      <c r="D19" s="7"/>
      <c r="E19" s="5"/>
      <c r="F19" s="8"/>
      <c r="G19" s="9"/>
      <c r="L19" s="508" t="s">
        <v>574</v>
      </c>
    </row>
    <row r="20" spans="1:12" x14ac:dyDescent="0.25">
      <c r="A20" s="514" t="s">
        <v>575</v>
      </c>
      <c r="B20" s="5"/>
      <c r="C20" s="6"/>
      <c r="D20" s="7"/>
      <c r="E20" s="5"/>
      <c r="F20" s="8"/>
      <c r="G20" s="9"/>
      <c r="L20" s="508" t="s">
        <v>576</v>
      </c>
    </row>
    <row r="21" spans="1:12" x14ac:dyDescent="0.25">
      <c r="A21" s="514" t="s">
        <v>577</v>
      </c>
      <c r="B21" s="5"/>
      <c r="C21" s="6"/>
      <c r="D21" s="7"/>
      <c r="E21" s="5"/>
      <c r="F21" s="8"/>
      <c r="G21" s="9"/>
      <c r="L21" s="508" t="s">
        <v>578</v>
      </c>
    </row>
    <row r="22" spans="1:12" x14ac:dyDescent="0.25">
      <c r="A22" s="514" t="s">
        <v>579</v>
      </c>
      <c r="B22" s="5"/>
      <c r="C22" s="6"/>
      <c r="D22" s="7"/>
      <c r="E22" s="5"/>
      <c r="F22" s="8"/>
      <c r="G22" s="9"/>
      <c r="L22" s="508" t="s">
        <v>580</v>
      </c>
    </row>
    <row r="23" spans="1:12" x14ac:dyDescent="0.25">
      <c r="A23" s="514" t="s">
        <v>581</v>
      </c>
      <c r="B23" s="5"/>
      <c r="C23" s="6"/>
      <c r="D23" s="7"/>
      <c r="E23" s="5"/>
      <c r="F23" s="8"/>
      <c r="G23" s="9"/>
      <c r="L23" s="508" t="s">
        <v>582</v>
      </c>
    </row>
    <row r="24" spans="1:12" x14ac:dyDescent="0.25">
      <c r="A24" s="514" t="s">
        <v>583</v>
      </c>
      <c r="B24" s="5"/>
      <c r="C24" s="6"/>
      <c r="D24" s="7"/>
      <c r="E24" s="5"/>
      <c r="F24" s="8"/>
      <c r="G24" s="9"/>
      <c r="L24" s="508" t="s">
        <v>584</v>
      </c>
    </row>
    <row r="25" spans="1:12" hidden="1" x14ac:dyDescent="0.25">
      <c r="A25" s="514" t="s">
        <v>585</v>
      </c>
      <c r="B25" s="514"/>
      <c r="C25" s="516"/>
      <c r="D25" s="517"/>
      <c r="E25" s="514"/>
      <c r="F25" s="518"/>
      <c r="G25" s="519"/>
      <c r="L25" s="508" t="s">
        <v>586</v>
      </c>
    </row>
    <row r="26" spans="1:12" hidden="1" x14ac:dyDescent="0.25">
      <c r="A26" s="514" t="s">
        <v>587</v>
      </c>
      <c r="B26" s="514"/>
      <c r="C26" s="516"/>
      <c r="D26" s="517"/>
      <c r="E26" s="514"/>
      <c r="F26" s="518"/>
      <c r="G26" s="519"/>
      <c r="L26" s="508" t="s">
        <v>588</v>
      </c>
    </row>
    <row r="27" spans="1:12" hidden="1" x14ac:dyDescent="0.25">
      <c r="A27" s="514" t="s">
        <v>589</v>
      </c>
      <c r="B27" s="514"/>
      <c r="C27" s="516"/>
      <c r="D27" s="517"/>
      <c r="E27" s="514"/>
      <c r="F27" s="518"/>
      <c r="G27" s="519"/>
      <c r="L27" s="508" t="s">
        <v>590</v>
      </c>
    </row>
    <row r="28" spans="1:12" hidden="1" x14ac:dyDescent="0.25">
      <c r="A28" s="514" t="s">
        <v>591</v>
      </c>
      <c r="B28" s="514"/>
      <c r="C28" s="516"/>
      <c r="D28" s="517"/>
      <c r="E28" s="514"/>
      <c r="F28" s="518"/>
      <c r="G28" s="519"/>
      <c r="L28" s="508" t="s">
        <v>592</v>
      </c>
    </row>
    <row r="29" spans="1:12" hidden="1" x14ac:dyDescent="0.25">
      <c r="A29" s="514" t="s">
        <v>593</v>
      </c>
      <c r="B29" s="514"/>
      <c r="C29" s="516"/>
      <c r="D29" s="517"/>
      <c r="E29" s="514"/>
      <c r="F29" s="518"/>
      <c r="G29" s="519"/>
      <c r="L29" s="508" t="s">
        <v>594</v>
      </c>
    </row>
    <row r="30" spans="1:12" hidden="1" x14ac:dyDescent="0.25">
      <c r="A30" s="514" t="s">
        <v>595</v>
      </c>
      <c r="B30" s="514"/>
      <c r="C30" s="516"/>
      <c r="D30" s="517"/>
      <c r="E30" s="514"/>
      <c r="F30" s="518"/>
      <c r="G30" s="519"/>
      <c r="L30" s="508" t="s">
        <v>596</v>
      </c>
    </row>
    <row r="31" spans="1:12" hidden="1" x14ac:dyDescent="0.25">
      <c r="A31" s="514" t="s">
        <v>597</v>
      </c>
      <c r="B31" s="514"/>
      <c r="C31" s="516"/>
      <c r="D31" s="517"/>
      <c r="E31" s="514"/>
      <c r="F31" s="518"/>
      <c r="G31" s="519"/>
      <c r="L31" s="508" t="s">
        <v>598</v>
      </c>
    </row>
    <row r="32" spans="1:12" hidden="1" x14ac:dyDescent="0.25">
      <c r="A32" s="514" t="s">
        <v>599</v>
      </c>
      <c r="B32" s="514"/>
      <c r="C32" s="516"/>
      <c r="D32" s="517"/>
      <c r="E32" s="514"/>
      <c r="F32" s="518"/>
      <c r="G32" s="519"/>
      <c r="L32" s="508" t="s">
        <v>600</v>
      </c>
    </row>
    <row r="33" spans="1:12" hidden="1" x14ac:dyDescent="0.25">
      <c r="A33" s="514" t="s">
        <v>601</v>
      </c>
      <c r="B33" s="514"/>
      <c r="C33" s="516"/>
      <c r="D33" s="517"/>
      <c r="E33" s="514"/>
      <c r="F33" s="518"/>
      <c r="G33" s="519"/>
      <c r="L33" s="508" t="s">
        <v>602</v>
      </c>
    </row>
    <row r="34" spans="1:12" hidden="1" x14ac:dyDescent="0.25">
      <c r="A34" s="514" t="s">
        <v>603</v>
      </c>
      <c r="B34" s="514"/>
      <c r="C34" s="516"/>
      <c r="D34" s="517"/>
      <c r="E34" s="514"/>
      <c r="F34" s="518"/>
      <c r="G34" s="519"/>
      <c r="L34" s="508" t="s">
        <v>604</v>
      </c>
    </row>
    <row r="35" spans="1:12" hidden="1" x14ac:dyDescent="0.25">
      <c r="A35" s="514" t="s">
        <v>605</v>
      </c>
      <c r="B35" s="514"/>
      <c r="C35" s="516"/>
      <c r="D35" s="517"/>
      <c r="E35" s="514"/>
      <c r="F35" s="518"/>
      <c r="G35" s="519"/>
      <c r="L35" s="508" t="s">
        <v>606</v>
      </c>
    </row>
    <row r="36" spans="1:12" hidden="1" x14ac:dyDescent="0.25">
      <c r="A36" s="514" t="s">
        <v>607</v>
      </c>
      <c r="B36" s="514"/>
      <c r="C36" s="516"/>
      <c r="D36" s="517"/>
      <c r="E36" s="514"/>
      <c r="F36" s="518"/>
      <c r="G36" s="519"/>
      <c r="L36" s="508" t="s">
        <v>608</v>
      </c>
    </row>
    <row r="37" spans="1:12" hidden="1" x14ac:dyDescent="0.25">
      <c r="A37" s="514" t="s">
        <v>609</v>
      </c>
      <c r="B37" s="514"/>
      <c r="C37" s="516"/>
      <c r="D37" s="517"/>
      <c r="E37" s="514"/>
      <c r="F37" s="518"/>
      <c r="G37" s="519"/>
      <c r="L37" s="508" t="s">
        <v>610</v>
      </c>
    </row>
    <row r="38" spans="1:12" hidden="1" x14ac:dyDescent="0.25">
      <c r="A38" s="514" t="s">
        <v>611</v>
      </c>
      <c r="B38" s="514"/>
      <c r="C38" s="516"/>
      <c r="D38" s="517"/>
      <c r="E38" s="514"/>
      <c r="F38" s="518"/>
      <c r="G38" s="519"/>
      <c r="L38" s="508" t="s">
        <v>612</v>
      </c>
    </row>
    <row r="39" spans="1:12" hidden="1" x14ac:dyDescent="0.25">
      <c r="A39" s="514" t="s">
        <v>613</v>
      </c>
      <c r="B39" s="514"/>
      <c r="C39" s="516"/>
      <c r="D39" s="517"/>
      <c r="E39" s="514"/>
      <c r="F39" s="518"/>
      <c r="G39" s="519"/>
      <c r="L39" s="508" t="s">
        <v>614</v>
      </c>
    </row>
    <row r="40" spans="1:12" hidden="1" x14ac:dyDescent="0.25">
      <c r="A40" s="514" t="s">
        <v>615</v>
      </c>
      <c r="B40" s="514"/>
      <c r="C40" s="516"/>
      <c r="D40" s="517"/>
      <c r="E40" s="514"/>
      <c r="F40" s="518"/>
      <c r="G40" s="519"/>
      <c r="L40" s="508" t="s">
        <v>616</v>
      </c>
    </row>
    <row r="41" spans="1:12" hidden="1" x14ac:dyDescent="0.25">
      <c r="A41" s="514" t="s">
        <v>617</v>
      </c>
      <c r="B41" s="514"/>
      <c r="C41" s="516"/>
      <c r="D41" s="517"/>
      <c r="E41" s="514"/>
      <c r="F41" s="518"/>
      <c r="G41" s="519"/>
      <c r="L41" s="508" t="s">
        <v>618</v>
      </c>
    </row>
    <row r="42" spans="1:12" hidden="1" x14ac:dyDescent="0.25">
      <c r="A42" s="514" t="s">
        <v>619</v>
      </c>
      <c r="B42" s="514"/>
      <c r="C42" s="516"/>
      <c r="D42" s="517"/>
      <c r="E42" s="514"/>
      <c r="F42" s="518"/>
      <c r="G42" s="519"/>
      <c r="L42" s="508" t="s">
        <v>620</v>
      </c>
    </row>
    <row r="43" spans="1:12" hidden="1" x14ac:dyDescent="0.25">
      <c r="A43" s="514" t="s">
        <v>621</v>
      </c>
      <c r="B43" s="514"/>
      <c r="C43" s="516"/>
      <c r="D43" s="517"/>
      <c r="E43" s="514"/>
      <c r="F43" s="518"/>
      <c r="G43" s="519"/>
      <c r="L43" s="508" t="s">
        <v>622</v>
      </c>
    </row>
    <row r="44" spans="1:12" hidden="1" x14ac:dyDescent="0.25">
      <c r="A44" s="514" t="s">
        <v>623</v>
      </c>
      <c r="B44" s="514"/>
      <c r="C44" s="516"/>
      <c r="D44" s="517"/>
      <c r="E44" s="514"/>
      <c r="F44" s="518"/>
      <c r="G44" s="519"/>
      <c r="L44" s="508" t="s">
        <v>624</v>
      </c>
    </row>
    <row r="45" spans="1:12" hidden="1" x14ac:dyDescent="0.25">
      <c r="A45" s="514" t="s">
        <v>625</v>
      </c>
      <c r="B45" s="514"/>
      <c r="C45" s="516"/>
      <c r="D45" s="517"/>
      <c r="E45" s="514"/>
      <c r="F45" s="518"/>
      <c r="G45" s="519"/>
      <c r="L45" s="508" t="s">
        <v>626</v>
      </c>
    </row>
    <row r="46" spans="1:12" hidden="1" x14ac:dyDescent="0.25">
      <c r="A46" s="514" t="s">
        <v>627</v>
      </c>
      <c r="B46" s="514"/>
      <c r="C46" s="516"/>
      <c r="D46" s="517"/>
      <c r="E46" s="514"/>
      <c r="F46" s="518"/>
      <c r="G46" s="519"/>
      <c r="L46" s="508" t="s">
        <v>628</v>
      </c>
    </row>
    <row r="47" spans="1:12" hidden="1" x14ac:dyDescent="0.25">
      <c r="A47" s="514" t="s">
        <v>629</v>
      </c>
      <c r="B47" s="514"/>
      <c r="C47" s="516"/>
      <c r="D47" s="517"/>
      <c r="E47" s="514"/>
      <c r="F47" s="518"/>
      <c r="G47" s="519"/>
      <c r="L47" s="508" t="s">
        <v>630</v>
      </c>
    </row>
    <row r="48" spans="1:12" hidden="1" x14ac:dyDescent="0.25">
      <c r="A48" s="514" t="s">
        <v>631</v>
      </c>
      <c r="B48" s="514"/>
      <c r="C48" s="516"/>
      <c r="D48" s="517"/>
      <c r="E48" s="514"/>
      <c r="F48" s="518"/>
      <c r="G48" s="519"/>
      <c r="L48" s="508" t="s">
        <v>632</v>
      </c>
    </row>
    <row r="49" spans="1:12" hidden="1" x14ac:dyDescent="0.25">
      <c r="A49" s="514" t="s">
        <v>633</v>
      </c>
      <c r="B49" s="514"/>
      <c r="C49" s="516"/>
      <c r="D49" s="517"/>
      <c r="E49" s="514"/>
      <c r="F49" s="518"/>
      <c r="G49" s="519"/>
      <c r="L49" s="508" t="s">
        <v>634</v>
      </c>
    </row>
    <row r="50" spans="1:12" hidden="1" x14ac:dyDescent="0.25">
      <c r="A50" s="514" t="s">
        <v>635</v>
      </c>
      <c r="B50" s="514"/>
      <c r="C50" s="516"/>
      <c r="D50" s="517"/>
      <c r="E50" s="514"/>
      <c r="F50" s="518"/>
      <c r="G50" s="519"/>
      <c r="L50" s="508" t="s">
        <v>636</v>
      </c>
    </row>
    <row r="51" spans="1:12" hidden="1" x14ac:dyDescent="0.25">
      <c r="A51" s="514" t="s">
        <v>637</v>
      </c>
      <c r="B51" s="514"/>
      <c r="C51" s="516"/>
      <c r="D51" s="517"/>
      <c r="E51" s="514"/>
      <c r="F51" s="518"/>
      <c r="G51" s="519"/>
      <c r="L51" s="508" t="s">
        <v>638</v>
      </c>
    </row>
    <row r="52" spans="1:12" hidden="1" x14ac:dyDescent="0.25">
      <c r="A52" s="514" t="s">
        <v>639</v>
      </c>
      <c r="B52" s="514"/>
      <c r="C52" s="516"/>
      <c r="D52" s="517"/>
      <c r="E52" s="514"/>
      <c r="F52" s="518"/>
      <c r="G52" s="519"/>
      <c r="L52" s="508" t="s">
        <v>640</v>
      </c>
    </row>
    <row r="53" spans="1:12" hidden="1" x14ac:dyDescent="0.25">
      <c r="A53" s="514" t="s">
        <v>641</v>
      </c>
      <c r="B53" s="514"/>
      <c r="C53" s="516"/>
      <c r="D53" s="517"/>
      <c r="E53" s="514"/>
      <c r="F53" s="518"/>
      <c r="G53" s="519"/>
      <c r="L53" s="508" t="s">
        <v>642</v>
      </c>
    </row>
    <row r="54" spans="1:12" hidden="1" x14ac:dyDescent="0.25">
      <c r="A54" s="514" t="s">
        <v>643</v>
      </c>
      <c r="B54" s="514"/>
      <c r="C54" s="516"/>
      <c r="D54" s="517"/>
      <c r="E54" s="514"/>
      <c r="F54" s="518"/>
      <c r="G54" s="519"/>
      <c r="L54" s="508" t="s">
        <v>644</v>
      </c>
    </row>
    <row r="55" spans="1:12" hidden="1" x14ac:dyDescent="0.25">
      <c r="A55" s="514" t="s">
        <v>645</v>
      </c>
      <c r="B55" s="514"/>
      <c r="C55" s="516"/>
      <c r="D55" s="517"/>
      <c r="E55" s="514"/>
      <c r="F55" s="518"/>
      <c r="G55" s="519"/>
      <c r="L55" s="508" t="s">
        <v>646</v>
      </c>
    </row>
    <row r="56" spans="1:12" hidden="1" x14ac:dyDescent="0.25">
      <c r="A56" s="514" t="s">
        <v>647</v>
      </c>
      <c r="B56" s="514"/>
      <c r="C56" s="516"/>
      <c r="D56" s="517"/>
      <c r="E56" s="514"/>
      <c r="F56" s="518"/>
      <c r="G56" s="519"/>
      <c r="L56" s="508" t="s">
        <v>648</v>
      </c>
    </row>
    <row r="57" spans="1:12" hidden="1" x14ac:dyDescent="0.25">
      <c r="A57" s="514" t="s">
        <v>649</v>
      </c>
      <c r="B57" s="514"/>
      <c r="C57" s="516"/>
      <c r="D57" s="517"/>
      <c r="E57" s="514"/>
      <c r="F57" s="518"/>
      <c r="G57" s="519"/>
      <c r="L57" s="508" t="s">
        <v>650</v>
      </c>
    </row>
    <row r="58" spans="1:12" hidden="1" x14ac:dyDescent="0.25">
      <c r="A58" s="514" t="s">
        <v>651</v>
      </c>
      <c r="B58" s="514"/>
      <c r="C58" s="516"/>
      <c r="D58" s="517"/>
      <c r="E58" s="514"/>
      <c r="F58" s="518"/>
      <c r="G58" s="519"/>
      <c r="L58" s="508" t="s">
        <v>652</v>
      </c>
    </row>
    <row r="59" spans="1:12" hidden="1" x14ac:dyDescent="0.25">
      <c r="A59" s="514" t="s">
        <v>653</v>
      </c>
      <c r="B59" s="514"/>
      <c r="C59" s="516"/>
      <c r="D59" s="517"/>
      <c r="E59" s="514"/>
      <c r="F59" s="518"/>
      <c r="G59" s="519"/>
      <c r="L59" s="508" t="s">
        <v>654</v>
      </c>
    </row>
    <row r="60" spans="1:12" hidden="1" x14ac:dyDescent="0.25">
      <c r="A60" s="514" t="s">
        <v>655</v>
      </c>
      <c r="B60" s="514"/>
      <c r="C60" s="516"/>
      <c r="D60" s="517"/>
      <c r="E60" s="514"/>
      <c r="F60" s="518"/>
      <c r="G60" s="519"/>
      <c r="L60" s="508" t="s">
        <v>656</v>
      </c>
    </row>
    <row r="61" spans="1:12" hidden="1" x14ac:dyDescent="0.25">
      <c r="A61" s="514" t="s">
        <v>657</v>
      </c>
      <c r="B61" s="514"/>
      <c r="C61" s="516"/>
      <c r="D61" s="517"/>
      <c r="E61" s="514"/>
      <c r="F61" s="518"/>
      <c r="G61" s="519"/>
      <c r="L61" s="508" t="s">
        <v>658</v>
      </c>
    </row>
    <row r="62" spans="1:12" hidden="1" x14ac:dyDescent="0.25">
      <c r="A62" s="514" t="s">
        <v>659</v>
      </c>
      <c r="B62" s="514"/>
      <c r="C62" s="516"/>
      <c r="D62" s="517"/>
      <c r="E62" s="514"/>
      <c r="F62" s="518"/>
      <c r="G62" s="519"/>
      <c r="L62" s="508" t="s">
        <v>660</v>
      </c>
    </row>
    <row r="63" spans="1:12" hidden="1" x14ac:dyDescent="0.25">
      <c r="A63" s="514" t="s">
        <v>661</v>
      </c>
      <c r="B63" s="514"/>
      <c r="C63" s="516"/>
      <c r="D63" s="517"/>
      <c r="E63" s="514"/>
      <c r="F63" s="518"/>
      <c r="G63" s="519"/>
      <c r="L63" s="508" t="s">
        <v>662</v>
      </c>
    </row>
    <row r="64" spans="1:12" hidden="1" x14ac:dyDescent="0.25">
      <c r="A64" s="514" t="s">
        <v>663</v>
      </c>
      <c r="B64" s="514"/>
      <c r="C64" s="516"/>
      <c r="D64" s="517"/>
      <c r="E64" s="514"/>
      <c r="F64" s="518"/>
      <c r="G64" s="519"/>
      <c r="L64" s="508" t="s">
        <v>664</v>
      </c>
    </row>
    <row r="65" spans="1:12" hidden="1" x14ac:dyDescent="0.25">
      <c r="A65" s="514" t="s">
        <v>665</v>
      </c>
      <c r="B65" s="514"/>
      <c r="C65" s="516"/>
      <c r="D65" s="517"/>
      <c r="E65" s="514"/>
      <c r="F65" s="518"/>
      <c r="G65" s="519"/>
      <c r="L65" s="508" t="s">
        <v>666</v>
      </c>
    </row>
    <row r="66" spans="1:12" hidden="1" x14ac:dyDescent="0.25">
      <c r="A66" s="514" t="s">
        <v>667</v>
      </c>
      <c r="B66" s="514"/>
      <c r="C66" s="516"/>
      <c r="D66" s="517"/>
      <c r="E66" s="514"/>
      <c r="F66" s="518"/>
      <c r="G66" s="519"/>
      <c r="L66" s="508" t="s">
        <v>668</v>
      </c>
    </row>
    <row r="67" spans="1:12" hidden="1" x14ac:dyDescent="0.25">
      <c r="A67" s="514" t="s">
        <v>669</v>
      </c>
      <c r="B67" s="514"/>
      <c r="C67" s="516"/>
      <c r="D67" s="517"/>
      <c r="E67" s="514"/>
      <c r="F67" s="518"/>
      <c r="G67" s="519"/>
      <c r="L67" s="508" t="s">
        <v>670</v>
      </c>
    </row>
    <row r="68" spans="1:12" hidden="1" x14ac:dyDescent="0.25">
      <c r="A68" s="514" t="s">
        <v>671</v>
      </c>
      <c r="B68" s="514"/>
      <c r="C68" s="516"/>
      <c r="D68" s="517"/>
      <c r="E68" s="514"/>
      <c r="F68" s="518"/>
      <c r="G68" s="519"/>
      <c r="L68" s="508" t="s">
        <v>672</v>
      </c>
    </row>
    <row r="69" spans="1:12" hidden="1" x14ac:dyDescent="0.25">
      <c r="A69" s="514" t="s">
        <v>673</v>
      </c>
      <c r="B69" s="514"/>
      <c r="C69" s="516"/>
      <c r="D69" s="517"/>
      <c r="E69" s="514"/>
      <c r="F69" s="518"/>
      <c r="G69" s="519"/>
      <c r="L69" s="508" t="s">
        <v>674</v>
      </c>
    </row>
    <row r="70" spans="1:12" hidden="1" x14ac:dyDescent="0.25">
      <c r="A70" s="514" t="s">
        <v>675</v>
      </c>
      <c r="B70" s="514"/>
      <c r="C70" s="516"/>
      <c r="D70" s="517"/>
      <c r="E70" s="514"/>
      <c r="F70" s="518"/>
      <c r="G70" s="519"/>
      <c r="L70" s="508" t="s">
        <v>676</v>
      </c>
    </row>
    <row r="71" spans="1:12" hidden="1" x14ac:dyDescent="0.25">
      <c r="A71" s="514" t="s">
        <v>677</v>
      </c>
      <c r="B71" s="514"/>
      <c r="C71" s="516"/>
      <c r="D71" s="517"/>
      <c r="E71" s="514"/>
      <c r="F71" s="518"/>
      <c r="G71" s="519"/>
      <c r="L71" s="508" t="s">
        <v>678</v>
      </c>
    </row>
    <row r="72" spans="1:12" hidden="1" x14ac:dyDescent="0.25">
      <c r="A72" s="514" t="s">
        <v>679</v>
      </c>
      <c r="B72" s="514"/>
      <c r="C72" s="516"/>
      <c r="D72" s="517"/>
      <c r="E72" s="514"/>
      <c r="F72" s="518"/>
      <c r="G72" s="519"/>
      <c r="L72" s="508" t="s">
        <v>680</v>
      </c>
    </row>
    <row r="73" spans="1:12" hidden="1" x14ac:dyDescent="0.25">
      <c r="A73" s="514" t="s">
        <v>681</v>
      </c>
      <c r="B73" s="514"/>
      <c r="C73" s="516"/>
      <c r="D73" s="517"/>
      <c r="E73" s="514"/>
      <c r="F73" s="518"/>
      <c r="G73" s="519"/>
      <c r="L73" s="508" t="s">
        <v>682</v>
      </c>
    </row>
    <row r="74" spans="1:12" hidden="1" x14ac:dyDescent="0.25">
      <c r="A74" s="514" t="s">
        <v>683</v>
      </c>
      <c r="B74" s="514"/>
      <c r="C74" s="516"/>
      <c r="D74" s="517"/>
      <c r="E74" s="514"/>
      <c r="F74" s="518"/>
      <c r="G74" s="519"/>
      <c r="L74" s="508" t="s">
        <v>684</v>
      </c>
    </row>
    <row r="75" spans="1:12" hidden="1" x14ac:dyDescent="0.25">
      <c r="A75" s="514" t="s">
        <v>685</v>
      </c>
      <c r="B75" s="514"/>
      <c r="C75" s="516"/>
      <c r="D75" s="517"/>
      <c r="E75" s="514"/>
      <c r="F75" s="518"/>
      <c r="G75" s="519"/>
      <c r="L75" s="508" t="s">
        <v>686</v>
      </c>
    </row>
    <row r="76" spans="1:12" hidden="1" x14ac:dyDescent="0.25">
      <c r="A76" s="514" t="s">
        <v>687</v>
      </c>
      <c r="B76" s="514"/>
      <c r="C76" s="516"/>
      <c r="D76" s="517"/>
      <c r="E76" s="514"/>
      <c r="F76" s="518"/>
      <c r="G76" s="519"/>
      <c r="L76" s="508" t="s">
        <v>688</v>
      </c>
    </row>
    <row r="77" spans="1:12" hidden="1" x14ac:dyDescent="0.25">
      <c r="A77" s="514" t="s">
        <v>689</v>
      </c>
      <c r="B77" s="514"/>
      <c r="C77" s="516"/>
      <c r="D77" s="517"/>
      <c r="E77" s="514"/>
      <c r="F77" s="518"/>
      <c r="G77" s="519"/>
      <c r="L77" s="508" t="s">
        <v>690</v>
      </c>
    </row>
    <row r="78" spans="1:12" hidden="1" x14ac:dyDescent="0.25">
      <c r="A78" s="514" t="s">
        <v>691</v>
      </c>
      <c r="B78" s="514"/>
      <c r="C78" s="516"/>
      <c r="D78" s="517"/>
      <c r="E78" s="514"/>
      <c r="F78" s="518"/>
      <c r="G78" s="519"/>
      <c r="L78" s="508" t="s">
        <v>692</v>
      </c>
    </row>
    <row r="79" spans="1:12" hidden="1" x14ac:dyDescent="0.25">
      <c r="A79" s="514" t="s">
        <v>693</v>
      </c>
      <c r="B79" s="514"/>
      <c r="C79" s="516"/>
      <c r="D79" s="517"/>
      <c r="E79" s="514"/>
      <c r="F79" s="518"/>
      <c r="G79" s="519"/>
      <c r="L79" s="508" t="s">
        <v>694</v>
      </c>
    </row>
    <row r="80" spans="1:12" hidden="1" x14ac:dyDescent="0.25">
      <c r="A80" s="514" t="s">
        <v>695</v>
      </c>
      <c r="B80" s="514"/>
      <c r="C80" s="516"/>
      <c r="D80" s="517"/>
      <c r="E80" s="514"/>
      <c r="F80" s="518"/>
      <c r="G80" s="519"/>
      <c r="L80" s="508" t="s">
        <v>696</v>
      </c>
    </row>
    <row r="81" spans="1:12" hidden="1" x14ac:dyDescent="0.25">
      <c r="A81" s="514" t="s">
        <v>697</v>
      </c>
      <c r="B81" s="514"/>
      <c r="C81" s="516"/>
      <c r="D81" s="517"/>
      <c r="E81" s="514"/>
      <c r="F81" s="518"/>
      <c r="G81" s="519"/>
      <c r="L81" s="508" t="s">
        <v>698</v>
      </c>
    </row>
    <row r="82" spans="1:12" hidden="1" x14ac:dyDescent="0.25">
      <c r="A82" s="514" t="s">
        <v>699</v>
      </c>
      <c r="B82" s="514"/>
      <c r="C82" s="516"/>
      <c r="D82" s="517"/>
      <c r="E82" s="514"/>
      <c r="F82" s="518"/>
      <c r="G82" s="519"/>
      <c r="L82" s="508" t="s">
        <v>700</v>
      </c>
    </row>
    <row r="83" spans="1:12" hidden="1" x14ac:dyDescent="0.25">
      <c r="A83" s="514" t="s">
        <v>701</v>
      </c>
      <c r="B83" s="514"/>
      <c r="C83" s="516"/>
      <c r="D83" s="517"/>
      <c r="E83" s="514"/>
      <c r="F83" s="518"/>
      <c r="G83" s="519"/>
      <c r="L83" s="508" t="s">
        <v>702</v>
      </c>
    </row>
    <row r="84" spans="1:12" hidden="1" x14ac:dyDescent="0.25">
      <c r="A84" s="514" t="s">
        <v>703</v>
      </c>
      <c r="B84" s="514"/>
      <c r="C84" s="516"/>
      <c r="D84" s="517"/>
      <c r="E84" s="514"/>
      <c r="F84" s="518"/>
      <c r="G84" s="519"/>
      <c r="L84" s="508" t="s">
        <v>704</v>
      </c>
    </row>
    <row r="85" spans="1:12" hidden="1" x14ac:dyDescent="0.25">
      <c r="A85" s="514" t="s">
        <v>705</v>
      </c>
      <c r="B85" s="514"/>
      <c r="C85" s="516"/>
      <c r="D85" s="517"/>
      <c r="E85" s="514"/>
      <c r="F85" s="518"/>
      <c r="G85" s="519"/>
      <c r="L85" s="508" t="s">
        <v>706</v>
      </c>
    </row>
    <row r="86" spans="1:12" hidden="1" x14ac:dyDescent="0.25">
      <c r="A86" s="514" t="s">
        <v>707</v>
      </c>
      <c r="B86" s="514"/>
      <c r="C86" s="516"/>
      <c r="D86" s="517"/>
      <c r="E86" s="514"/>
      <c r="F86" s="518"/>
      <c r="G86" s="519"/>
      <c r="L86" s="508" t="s">
        <v>708</v>
      </c>
    </row>
    <row r="87" spans="1:12" hidden="1" x14ac:dyDescent="0.25">
      <c r="A87" s="514" t="s">
        <v>709</v>
      </c>
      <c r="B87" s="514"/>
      <c r="C87" s="516"/>
      <c r="D87" s="517"/>
      <c r="E87" s="514"/>
      <c r="F87" s="518"/>
      <c r="G87" s="519"/>
      <c r="L87" s="508" t="s">
        <v>710</v>
      </c>
    </row>
    <row r="88" spans="1:12" hidden="1" x14ac:dyDescent="0.25">
      <c r="A88" s="514" t="s">
        <v>711</v>
      </c>
      <c r="B88" s="514"/>
      <c r="C88" s="516"/>
      <c r="D88" s="517"/>
      <c r="E88" s="514"/>
      <c r="F88" s="518"/>
      <c r="G88" s="519"/>
      <c r="L88" s="508" t="s">
        <v>712</v>
      </c>
    </row>
    <row r="89" spans="1:12" hidden="1" x14ac:dyDescent="0.25">
      <c r="A89" s="514" t="s">
        <v>713</v>
      </c>
      <c r="B89" s="514"/>
      <c r="C89" s="516"/>
      <c r="D89" s="517"/>
      <c r="E89" s="514"/>
      <c r="F89" s="518"/>
      <c r="G89" s="519"/>
      <c r="L89" s="508" t="s">
        <v>714</v>
      </c>
    </row>
    <row r="90" spans="1:12" hidden="1" x14ac:dyDescent="0.25">
      <c r="A90" s="514" t="s">
        <v>715</v>
      </c>
      <c r="B90" s="514"/>
      <c r="C90" s="516"/>
      <c r="D90" s="517"/>
      <c r="E90" s="514"/>
      <c r="F90" s="518"/>
      <c r="G90" s="519"/>
      <c r="L90" s="508" t="s">
        <v>716</v>
      </c>
    </row>
    <row r="91" spans="1:12" hidden="1" x14ac:dyDescent="0.25">
      <c r="A91" s="514" t="s">
        <v>717</v>
      </c>
      <c r="B91" s="514"/>
      <c r="C91" s="516"/>
      <c r="D91" s="517"/>
      <c r="E91" s="514"/>
      <c r="F91" s="518"/>
      <c r="G91" s="519"/>
      <c r="L91" s="508" t="s">
        <v>718</v>
      </c>
    </row>
    <row r="92" spans="1:12" hidden="1" x14ac:dyDescent="0.25">
      <c r="A92" s="514" t="s">
        <v>719</v>
      </c>
      <c r="B92" s="514"/>
      <c r="C92" s="516"/>
      <c r="D92" s="517"/>
      <c r="E92" s="514"/>
      <c r="F92" s="518"/>
      <c r="G92" s="519"/>
      <c r="L92" s="508" t="s">
        <v>720</v>
      </c>
    </row>
    <row r="93" spans="1:12" hidden="1" x14ac:dyDescent="0.25">
      <c r="A93" s="514" t="s">
        <v>721</v>
      </c>
      <c r="B93" s="514"/>
      <c r="C93" s="516"/>
      <c r="D93" s="517"/>
      <c r="E93" s="514"/>
      <c r="F93" s="518"/>
      <c r="G93" s="519"/>
      <c r="L93" s="508" t="s">
        <v>722</v>
      </c>
    </row>
    <row r="94" spans="1:12" hidden="1" x14ac:dyDescent="0.25">
      <c r="A94" s="514" t="s">
        <v>723</v>
      </c>
      <c r="B94" s="514"/>
      <c r="C94" s="516"/>
      <c r="D94" s="517"/>
      <c r="E94" s="514"/>
      <c r="F94" s="518"/>
      <c r="G94" s="519"/>
      <c r="L94" s="508" t="s">
        <v>724</v>
      </c>
    </row>
    <row r="95" spans="1:12" hidden="1" x14ac:dyDescent="0.25">
      <c r="A95" s="514" t="s">
        <v>725</v>
      </c>
      <c r="B95" s="514"/>
      <c r="C95" s="516"/>
      <c r="D95" s="517"/>
      <c r="E95" s="514"/>
      <c r="F95" s="518"/>
      <c r="G95" s="519"/>
      <c r="L95" s="508" t="s">
        <v>726</v>
      </c>
    </row>
    <row r="96" spans="1:12" hidden="1" x14ac:dyDescent="0.25">
      <c r="A96" s="514" t="s">
        <v>727</v>
      </c>
      <c r="B96" s="514"/>
      <c r="C96" s="516"/>
      <c r="D96" s="517"/>
      <c r="E96" s="514"/>
      <c r="F96" s="518"/>
      <c r="G96" s="519"/>
      <c r="L96" s="508" t="s">
        <v>728</v>
      </c>
    </row>
    <row r="97" spans="1:12" hidden="1" x14ac:dyDescent="0.25">
      <c r="A97" s="514" t="s">
        <v>729</v>
      </c>
      <c r="B97" s="514"/>
      <c r="C97" s="516"/>
      <c r="D97" s="517"/>
      <c r="E97" s="514"/>
      <c r="F97" s="518"/>
      <c r="G97" s="519"/>
      <c r="L97" s="508" t="s">
        <v>730</v>
      </c>
    </row>
    <row r="98" spans="1:12" hidden="1" x14ac:dyDescent="0.25">
      <c r="A98" s="514" t="s">
        <v>731</v>
      </c>
      <c r="B98" s="514"/>
      <c r="C98" s="516"/>
      <c r="D98" s="517"/>
      <c r="E98" s="514"/>
      <c r="F98" s="518"/>
      <c r="G98" s="519"/>
      <c r="L98" s="508" t="s">
        <v>732</v>
      </c>
    </row>
    <row r="99" spans="1:12" hidden="1" x14ac:dyDescent="0.25">
      <c r="A99" s="514" t="s">
        <v>733</v>
      </c>
      <c r="B99" s="514"/>
      <c r="C99" s="516"/>
      <c r="D99" s="517"/>
      <c r="E99" s="514"/>
      <c r="F99" s="518"/>
      <c r="G99" s="519"/>
      <c r="L99" s="508"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3"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7"/>
      <c r="B2" s="637"/>
      <c r="C2" s="497"/>
    </row>
    <row r="3" spans="1:3" s="4" customFormat="1" ht="112.5" customHeight="1" x14ac:dyDescent="0.2">
      <c r="A3" s="637" t="str">
        <f>IF('Page 2'!J48=0,"",IF(SUM('Page 3'!F25)+SUM('Page 4'!F16)+SUM('Page 5'!G8)+SUM('Page 5'!G30)&gt;'Page 1'!H27,C3,""))</f>
        <v/>
      </c>
      <c r="B3" s="637" t="str">
        <f>IF(A3="","","Restricted revenues-3200 on page 1 are not complete.")</f>
        <v/>
      </c>
      <c r="C3" s="504" t="s">
        <v>1165</v>
      </c>
    </row>
    <row r="4" spans="1:3" s="4" customFormat="1" ht="63" customHeight="1" x14ac:dyDescent="0.2">
      <c r="A4" s="637" t="str">
        <f>IF('Page 2'!J48=0,"",IF('Page 3'!F27&lt;=0,C4,""))</f>
        <v/>
      </c>
      <c r="B4" s="637" t="str">
        <f>IF(A4="","","Classroom Site Project revenue information on page 3 is not complete.")</f>
        <v/>
      </c>
      <c r="C4" s="504" t="s">
        <v>531</v>
      </c>
    </row>
    <row r="5" spans="1:3" s="4" customFormat="1" ht="78.75" customHeight="1" x14ac:dyDescent="0.2">
      <c r="A5" s="637" t="str">
        <f>IF('Page 2'!J48=0,"",IF('Page 4'!F16&lt;=0,C5,""))</f>
        <v/>
      </c>
      <c r="B5" s="637" t="str">
        <f>IF(A5="","","Instructional Improvement Project revenue on page 4 is not complete.")</f>
        <v/>
      </c>
      <c r="C5" s="504" t="s">
        <v>532</v>
      </c>
    </row>
    <row r="6" spans="1:3" s="4" customFormat="1" ht="55.5" customHeight="1" x14ac:dyDescent="0.2">
      <c r="A6" s="637" t="str">
        <f>IF('Page 2'!J48=0,"",IF(OR('Page 6'!G15="",'Page 6'!G16="",'Page 6'!G17="",'Page 6'!G18="",'Page 6'!G19=""),C6,""))</f>
        <v/>
      </c>
      <c r="B6" s="637" t="str">
        <f>IF(A6="","","Capital acquisition information on page 6, section C is not complete.")</f>
        <v/>
      </c>
      <c r="C6" s="504" t="s">
        <v>1166</v>
      </c>
    </row>
    <row r="7" spans="1:3" s="4" customFormat="1" ht="48.75" customHeight="1" x14ac:dyDescent="0.2">
      <c r="A7" s="637" t="str">
        <f>IF('Page 2'!J48=0,"",IF(OR('Page 6'!G33&lt;=0,'Page 6'!G35&lt;=0,'Page 6'!G34&lt;=0,'Page 6'!G38&lt;=0),C7,""))</f>
        <v/>
      </c>
      <c r="B7" s="637" t="str">
        <f>IF(A7="","","Current expenses on page 6, section E are not complete.")</f>
        <v/>
      </c>
      <c r="C7" s="504" t="s">
        <v>1167</v>
      </c>
    </row>
    <row r="8" spans="1:3" s="4" customFormat="1" ht="70.5" customHeight="1" x14ac:dyDescent="0.2">
      <c r="A8" s="637" t="str">
        <f>IF('Page 2'!J48=0,"",IF((SUM('Page 2'!J11,'Page 2'!J12,'Page 2'!J13,'Page 2'!J15,'Page 2'!J29,'Page 2'!J30,'Page 2'!J31,'Page 2'!J33))&gt;('Page 6'!G35),C8,""))</f>
        <v/>
      </c>
      <c r="B8" s="637" t="str">
        <f>IF(A8="","","Current administration expense on page 6, section E is not complete.")</f>
        <v/>
      </c>
      <c r="C8" s="504" t="s">
        <v>533</v>
      </c>
    </row>
    <row r="9" spans="1:3" s="4" customFormat="1" ht="39.75" customHeight="1" x14ac:dyDescent="0.2">
      <c r="A9" s="637" t="str">
        <f>IF('Page 2'!J48=0,"",IF(SUM('Page 6'!T6:T8)&lt;=0,C9,""))</f>
        <v/>
      </c>
      <c r="B9" s="637" t="str">
        <f>IF(A9="","","Page 6, section F, lines 1-3 are not complete.")</f>
        <v/>
      </c>
      <c r="C9" s="504" t="s">
        <v>534</v>
      </c>
    </row>
    <row r="10" spans="1:3" s="4" customFormat="1" ht="55.5" customHeight="1" x14ac:dyDescent="0.2">
      <c r="A10" s="637" t="str">
        <f>IF('Page 2'!J48=0,"",IF(SUM('Page 6'!M19:T23)&lt;=0,C10,""))</f>
        <v/>
      </c>
      <c r="B10" s="637" t="str">
        <f>IF(A10="","","Teacher salary information on page 6, section G is not complete.")</f>
        <v/>
      </c>
      <c r="C10" s="504" t="s">
        <v>535</v>
      </c>
    </row>
    <row r="11" spans="1:3" s="4" customFormat="1" ht="50.25" customHeight="1" x14ac:dyDescent="0.2">
      <c r="A11" s="637" t="str">
        <f>IF(SUM('Page 6'!T6:T8)=0,"",IF(AND(((SUM('Page 6'!M19:Q24,'Page 6'!T19:T24)/SUM('Page 6'!T6:T8))&gt;10000),(SUM('Page 6'!M19:Q24,'Page 6'!T19:T24)/SUM('Page 6'!T6:T8))&lt;80000),"",C11))</f>
        <v/>
      </c>
      <c r="B11" s="637" t="str">
        <f>IF(A11="","","Teacher FTE and salary information on page 6, sections F and G is not appropriate.")</f>
        <v/>
      </c>
      <c r="C11" s="504" t="s">
        <v>536</v>
      </c>
    </row>
    <row r="12" spans="1:3" s="4" customFormat="1" ht="57" customHeight="1" x14ac:dyDescent="0.2">
      <c r="A12" s="637" t="str">
        <f>IF('Page 2'!J48=0,"",IF(OR('Page 6'!T29="",'Page 6'!T29&lt;10000),C12,""))</f>
        <v/>
      </c>
      <c r="B12" s="637" t="str">
        <f>IF(A12="","","Average teacher salary information on page 6, section H is not complete.")</f>
        <v/>
      </c>
      <c r="C12" s="504" t="s">
        <v>1160</v>
      </c>
    </row>
    <row r="13" spans="1:3" s="4" customFormat="1" ht="84.75" customHeight="1" x14ac:dyDescent="0.2">
      <c r="A13" s="637" t="str">
        <f>IF('Page 2'!J48=0,"",IF(AND('Page 2'!J37&gt;0,'Page 7'!T23&lt;'Page 2'!J37),C13,""))</f>
        <v/>
      </c>
      <c r="B13" s="637" t="str">
        <f>IF(A13="","","Special education program information on page 7 is not complete.")</f>
        <v/>
      </c>
      <c r="C13" s="504" t="s">
        <v>537</v>
      </c>
    </row>
    <row r="14" spans="1:3" s="4" customFormat="1" ht="84.75" customHeight="1" x14ac:dyDescent="0.2">
      <c r="A14" s="637" t="str">
        <f>IF('Page 2'!J48=0,"",IF(OR('Page 9'!E41="",'Page 9'!E42="",'Page 9'!E43="",'Page 9'!E44="",('Page 9'!K23+'Page 9'!K26+SUM('Page 9'!E33:E36))&lt;&gt;(SUM('Page 9'!E41:E44))),C14,""))</f>
        <v/>
      </c>
      <c r="B14" s="637" t="str">
        <f>IF(A14="","","Property disbursement information on page 9 is not complete.")</f>
        <v/>
      </c>
      <c r="C14" s="504" t="s">
        <v>538</v>
      </c>
    </row>
    <row r="15" spans="1:3" s="4" customFormat="1" ht="90" customHeight="1" x14ac:dyDescent="0.2">
      <c r="A15" s="637" t="str">
        <f>IF('Page 2'!J48=0,"",IF((SUM('Page 2'!J48))&gt;(SUM('Page 9'!D23:J23)+SUM('Page 9'!D26:J26)+SUM('Page 9'!D33:D36)+'Page 9'!E48+'Page 9'!E50),C15,""))</f>
        <v/>
      </c>
      <c r="B15" s="637" t="str">
        <f>IF(A15="","","NPEFS information on page 9 is not complete.")</f>
        <v/>
      </c>
      <c r="C15" s="504" t="s">
        <v>539</v>
      </c>
    </row>
    <row r="16" spans="1:3" s="4" customFormat="1" ht="41.25" customHeight="1" x14ac:dyDescent="0.2">
      <c r="A16" s="637" t="str">
        <f>IF('Page 2'!J48=0,"",IF(OR('Page 8'!G25="",'Page 8'!H25="",'Page 8'!I25="",'Page 8'!K25="",'Page 8'!M25=""),C16,""))</f>
        <v/>
      </c>
      <c r="B16" s="637" t="str">
        <f>IF(A16="","","COVID-19 information on page 8, line 19 is not complete.")</f>
        <v/>
      </c>
      <c r="C16" s="504" t="s">
        <v>540</v>
      </c>
    </row>
    <row r="17" spans="1:3" ht="43.5" customHeight="1" x14ac:dyDescent="0.2">
      <c r="A17" s="505"/>
      <c r="B17" s="4"/>
      <c r="C17" s="4"/>
    </row>
    <row r="18" spans="1:3" ht="63" customHeight="1" x14ac:dyDescent="0.2">
      <c r="A18" s="637"/>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44" zoomScaleNormal="100" workbookViewId="0">
      <selection activeCell="C47" sqref="C47"/>
    </sheetView>
  </sheetViews>
  <sheetFormatPr defaultColWidth="9.33203125" defaultRowHeight="12.75" x14ac:dyDescent="0.2"/>
  <cols>
    <col min="1" max="1" width="11.83203125" style="154" customWidth="1"/>
    <col min="2" max="2" width="25" style="154" customWidth="1"/>
    <col min="3" max="3" width="112.1640625" style="154" customWidth="1"/>
    <col min="4" max="4" width="32.6640625" style="552" customWidth="1"/>
    <col min="5" max="5" width="9.33203125" style="154" customWidth="1"/>
    <col min="6" max="6" width="17.6640625" style="154" customWidth="1"/>
    <col min="7" max="10" width="9.33203125" style="154" customWidth="1"/>
    <col min="11" max="16384" width="9.33203125" style="154"/>
  </cols>
  <sheetData>
    <row r="1" spans="1:7" ht="24.75" customHeight="1" x14ac:dyDescent="0.2">
      <c r="A1" s="522" t="s">
        <v>735</v>
      </c>
      <c r="B1" s="522" t="s">
        <v>736</v>
      </c>
      <c r="C1" s="522" t="s">
        <v>737</v>
      </c>
      <c r="D1" s="522" t="s">
        <v>738</v>
      </c>
    </row>
    <row r="2" spans="1:7" ht="65.25" customHeight="1" x14ac:dyDescent="0.2">
      <c r="A2" s="883" t="s">
        <v>739</v>
      </c>
      <c r="B2" s="884"/>
      <c r="C2" s="523" t="s">
        <v>740</v>
      </c>
      <c r="D2" s="524"/>
    </row>
    <row r="3" spans="1:7" ht="68.25" customHeight="1" x14ac:dyDescent="0.2">
      <c r="A3" s="885"/>
      <c r="B3" s="886"/>
      <c r="C3" s="525" t="s">
        <v>741</v>
      </c>
      <c r="D3" s="524"/>
      <c r="F3" s="526"/>
      <c r="G3" s="157"/>
    </row>
    <row r="4" spans="1:7" ht="73.5" customHeight="1" x14ac:dyDescent="0.2">
      <c r="A4" s="885"/>
      <c r="B4" s="886"/>
      <c r="C4" s="527" t="s">
        <v>1138</v>
      </c>
      <c r="D4" s="524"/>
    </row>
    <row r="5" spans="1:7" ht="216.75" customHeight="1" x14ac:dyDescent="0.2">
      <c r="A5" s="885"/>
      <c r="B5" s="886"/>
      <c r="C5" s="523" t="s">
        <v>1209</v>
      </c>
      <c r="D5" s="524"/>
    </row>
    <row r="6" spans="1:7" ht="85.5" customHeight="1" x14ac:dyDescent="0.2">
      <c r="A6" s="887"/>
      <c r="B6" s="888"/>
      <c r="C6" s="527" t="s">
        <v>742</v>
      </c>
      <c r="D6" s="524"/>
    </row>
    <row r="7" spans="1:7" ht="54.75" customHeight="1" x14ac:dyDescent="0.2">
      <c r="A7" s="528" t="s">
        <v>743</v>
      </c>
      <c r="B7" s="529" t="s">
        <v>744</v>
      </c>
      <c r="C7" s="527" t="s">
        <v>745</v>
      </c>
      <c r="D7" s="524"/>
    </row>
    <row r="8" spans="1:7" ht="187.5" customHeight="1" x14ac:dyDescent="0.2">
      <c r="A8" s="530" t="s">
        <v>746</v>
      </c>
      <c r="B8" s="529" t="s">
        <v>744</v>
      </c>
      <c r="C8" s="523" t="s">
        <v>747</v>
      </c>
      <c r="D8" s="524"/>
    </row>
    <row r="9" spans="1:7" ht="215.25" customHeight="1" x14ac:dyDescent="0.2">
      <c r="A9" s="889" t="s">
        <v>748</v>
      </c>
      <c r="B9" s="891" t="s">
        <v>739</v>
      </c>
      <c r="C9" s="525" t="s">
        <v>749</v>
      </c>
      <c r="D9" s="524"/>
    </row>
    <row r="10" spans="1:7" ht="217.5" customHeight="1" x14ac:dyDescent="0.2">
      <c r="A10" s="890"/>
      <c r="B10" s="892"/>
      <c r="C10" s="531" t="s">
        <v>750</v>
      </c>
      <c r="D10" s="524"/>
    </row>
    <row r="11" spans="1:7" ht="21" customHeight="1" x14ac:dyDescent="0.2">
      <c r="A11" s="532">
        <v>1</v>
      </c>
      <c r="B11" s="533" t="s">
        <v>739</v>
      </c>
      <c r="C11" s="527" t="s">
        <v>751</v>
      </c>
      <c r="D11" s="524"/>
    </row>
    <row r="12" spans="1:7" ht="54" customHeight="1" x14ac:dyDescent="0.2">
      <c r="A12" s="534">
        <v>1</v>
      </c>
      <c r="B12" s="533" t="s">
        <v>752</v>
      </c>
      <c r="C12" s="535" t="s">
        <v>753</v>
      </c>
      <c r="D12" s="524"/>
    </row>
    <row r="13" spans="1:7" ht="122.25" customHeight="1" x14ac:dyDescent="0.2">
      <c r="A13" s="534">
        <v>1</v>
      </c>
      <c r="B13" s="536" t="s">
        <v>754</v>
      </c>
      <c r="C13" s="537" t="s">
        <v>755</v>
      </c>
      <c r="D13" s="524"/>
    </row>
    <row r="14" spans="1:7" ht="69.75" customHeight="1" x14ac:dyDescent="0.2">
      <c r="A14" s="534">
        <v>1</v>
      </c>
      <c r="B14" s="536" t="s">
        <v>756</v>
      </c>
      <c r="C14" s="537" t="s">
        <v>757</v>
      </c>
      <c r="D14" s="524"/>
    </row>
    <row r="15" spans="1:7" ht="69.75" customHeight="1" x14ac:dyDescent="0.2">
      <c r="A15" s="534">
        <v>1</v>
      </c>
      <c r="B15" s="536" t="s">
        <v>758</v>
      </c>
      <c r="C15" s="537" t="s">
        <v>759</v>
      </c>
      <c r="D15" s="524"/>
    </row>
    <row r="16" spans="1:7" ht="129" customHeight="1" x14ac:dyDescent="0.2">
      <c r="A16" s="532">
        <v>2</v>
      </c>
      <c r="B16" s="536" t="s">
        <v>760</v>
      </c>
      <c r="C16" s="537" t="s">
        <v>761</v>
      </c>
      <c r="D16" s="527"/>
    </row>
    <row r="17" spans="1:4" ht="54.75" customHeight="1" x14ac:dyDescent="0.2">
      <c r="A17" s="532">
        <v>2</v>
      </c>
      <c r="B17" s="536" t="s">
        <v>762</v>
      </c>
      <c r="C17" s="527" t="s">
        <v>1162</v>
      </c>
      <c r="D17" s="524"/>
    </row>
    <row r="18" spans="1:4" ht="84" customHeight="1" x14ac:dyDescent="0.2">
      <c r="A18" s="657">
        <v>3</v>
      </c>
      <c r="B18" s="536" t="s">
        <v>165</v>
      </c>
      <c r="C18" s="535" t="s">
        <v>763</v>
      </c>
      <c r="D18" s="538"/>
    </row>
    <row r="19" spans="1:4" ht="54" customHeight="1" x14ac:dyDescent="0.2">
      <c r="A19" s="657">
        <v>3</v>
      </c>
      <c r="B19" s="536" t="s">
        <v>764</v>
      </c>
      <c r="C19" s="535" t="s">
        <v>765</v>
      </c>
      <c r="D19" s="493"/>
    </row>
    <row r="20" spans="1:4" ht="42.75" customHeight="1" x14ac:dyDescent="0.2">
      <c r="A20" s="658">
        <v>3</v>
      </c>
      <c r="B20" s="536" t="s">
        <v>766</v>
      </c>
      <c r="C20" s="535" t="s">
        <v>767</v>
      </c>
      <c r="D20" s="493"/>
    </row>
    <row r="21" spans="1:4" ht="69.75" customHeight="1" x14ac:dyDescent="0.2">
      <c r="A21" s="657">
        <v>3</v>
      </c>
      <c r="B21" s="536" t="s">
        <v>768</v>
      </c>
      <c r="C21" s="535" t="s">
        <v>1163</v>
      </c>
      <c r="D21" s="538"/>
    </row>
    <row r="22" spans="1:4" ht="124.5" customHeight="1" x14ac:dyDescent="0.2">
      <c r="A22" s="657">
        <v>4</v>
      </c>
      <c r="B22" s="536" t="s">
        <v>769</v>
      </c>
      <c r="C22" s="537" t="s">
        <v>770</v>
      </c>
      <c r="D22" s="539"/>
    </row>
    <row r="23" spans="1:4" ht="99.75" customHeight="1" x14ac:dyDescent="0.2">
      <c r="A23" s="657">
        <v>6</v>
      </c>
      <c r="B23" s="536" t="s">
        <v>771</v>
      </c>
      <c r="C23" s="537" t="s">
        <v>1210</v>
      </c>
      <c r="D23" s="524"/>
    </row>
    <row r="24" spans="1:4" ht="93.75" customHeight="1" x14ac:dyDescent="0.2">
      <c r="A24" s="657">
        <v>6</v>
      </c>
      <c r="B24" s="536" t="s">
        <v>772</v>
      </c>
      <c r="C24" s="537" t="s">
        <v>1211</v>
      </c>
      <c r="D24" s="524"/>
    </row>
    <row r="25" spans="1:4" ht="45.75" customHeight="1" x14ac:dyDescent="0.2">
      <c r="A25" s="657">
        <v>6</v>
      </c>
      <c r="B25" s="536" t="s">
        <v>773</v>
      </c>
      <c r="C25" s="537" t="s">
        <v>1212</v>
      </c>
      <c r="D25" s="524"/>
    </row>
    <row r="26" spans="1:4" ht="111" customHeight="1" x14ac:dyDescent="0.2">
      <c r="A26" s="657">
        <v>6</v>
      </c>
      <c r="B26" s="536" t="s">
        <v>774</v>
      </c>
      <c r="C26" s="537" t="s">
        <v>1213</v>
      </c>
      <c r="D26" s="524"/>
    </row>
    <row r="27" spans="1:4" ht="51" x14ac:dyDescent="0.2">
      <c r="A27" s="657">
        <v>6</v>
      </c>
      <c r="B27" s="536" t="s">
        <v>775</v>
      </c>
      <c r="C27" s="537" t="s">
        <v>1214</v>
      </c>
      <c r="D27" s="524"/>
    </row>
    <row r="28" spans="1:4" ht="173.25" customHeight="1" x14ac:dyDescent="0.2">
      <c r="A28" s="657">
        <v>6</v>
      </c>
      <c r="B28" s="536" t="s">
        <v>776</v>
      </c>
      <c r="C28" s="537" t="s">
        <v>777</v>
      </c>
      <c r="D28" s="524"/>
    </row>
    <row r="29" spans="1:4" ht="69.75" customHeight="1" x14ac:dyDescent="0.2">
      <c r="A29" s="657">
        <v>6</v>
      </c>
      <c r="B29" s="639" t="s">
        <v>778</v>
      </c>
      <c r="C29" s="537" t="s">
        <v>779</v>
      </c>
      <c r="D29" s="524"/>
    </row>
    <row r="30" spans="1:4" ht="53.25" customHeight="1" x14ac:dyDescent="0.2">
      <c r="A30" s="657">
        <v>6</v>
      </c>
      <c r="B30" s="639" t="s">
        <v>780</v>
      </c>
      <c r="C30" s="537" t="s">
        <v>781</v>
      </c>
      <c r="D30" s="524"/>
    </row>
    <row r="31" spans="1:4" ht="77.25" customHeight="1" x14ac:dyDescent="0.2">
      <c r="A31" s="657">
        <v>6</v>
      </c>
      <c r="B31" s="536" t="s">
        <v>782</v>
      </c>
      <c r="C31" s="523" t="s">
        <v>783</v>
      </c>
      <c r="D31" s="524"/>
    </row>
    <row r="32" spans="1:4" ht="45.75" customHeight="1" x14ac:dyDescent="0.2">
      <c r="A32" s="657">
        <v>6</v>
      </c>
      <c r="B32" s="536" t="s">
        <v>784</v>
      </c>
      <c r="C32" s="537" t="s">
        <v>785</v>
      </c>
      <c r="D32" s="524"/>
    </row>
    <row r="33" spans="1:15" ht="47.25" customHeight="1" x14ac:dyDescent="0.2">
      <c r="A33" s="657">
        <v>6</v>
      </c>
      <c r="B33" s="536" t="s">
        <v>786</v>
      </c>
      <c r="C33" s="537" t="s">
        <v>787</v>
      </c>
      <c r="D33" s="524"/>
    </row>
    <row r="34" spans="1:15" ht="38.25" x14ac:dyDescent="0.2">
      <c r="A34" s="657">
        <v>6</v>
      </c>
      <c r="B34" s="536" t="s">
        <v>788</v>
      </c>
      <c r="C34" s="537" t="s">
        <v>789</v>
      </c>
      <c r="D34" s="524"/>
    </row>
    <row r="35" spans="1:15" ht="38.25" x14ac:dyDescent="0.2">
      <c r="A35" s="657">
        <v>6</v>
      </c>
      <c r="B35" s="536" t="s">
        <v>790</v>
      </c>
      <c r="C35" s="537" t="s">
        <v>791</v>
      </c>
      <c r="D35" s="524"/>
    </row>
    <row r="36" spans="1:15" s="157" customFormat="1" ht="38.25" x14ac:dyDescent="0.2">
      <c r="A36" s="657">
        <v>6</v>
      </c>
      <c r="B36" s="639" t="s">
        <v>792</v>
      </c>
      <c r="C36" s="537" t="s">
        <v>793</v>
      </c>
      <c r="D36" s="493"/>
    </row>
    <row r="37" spans="1:15" s="157" customFormat="1" ht="57.75" customHeight="1" x14ac:dyDescent="0.2">
      <c r="A37" s="657">
        <v>6</v>
      </c>
      <c r="B37" s="639" t="s">
        <v>794</v>
      </c>
      <c r="C37" s="537" t="s">
        <v>1215</v>
      </c>
      <c r="D37" s="540"/>
    </row>
    <row r="38" spans="1:15" s="157" customFormat="1" ht="30.75" customHeight="1" x14ac:dyDescent="0.2">
      <c r="A38" s="657">
        <v>7</v>
      </c>
      <c r="B38" s="536" t="s">
        <v>795</v>
      </c>
      <c r="C38" s="537" t="s">
        <v>796</v>
      </c>
      <c r="D38" s="493"/>
      <c r="E38" s="595"/>
      <c r="F38" s="595"/>
      <c r="G38" s="595"/>
      <c r="H38" s="595"/>
      <c r="I38" s="595"/>
      <c r="J38" s="595"/>
      <c r="K38" s="595"/>
      <c r="L38" s="595"/>
      <c r="M38" s="595"/>
      <c r="N38" s="595"/>
      <c r="O38" s="595"/>
    </row>
    <row r="39" spans="1:15" ht="114.75" customHeight="1" x14ac:dyDescent="0.2">
      <c r="A39" s="657">
        <v>7</v>
      </c>
      <c r="B39" s="536" t="s">
        <v>797</v>
      </c>
      <c r="C39" s="523" t="s">
        <v>798</v>
      </c>
      <c r="D39" s="524"/>
    </row>
    <row r="40" spans="1:15" ht="42" customHeight="1" x14ac:dyDescent="0.2">
      <c r="A40" s="657">
        <v>7</v>
      </c>
      <c r="B40" s="536" t="s">
        <v>799</v>
      </c>
      <c r="C40" s="527" t="s">
        <v>800</v>
      </c>
      <c r="D40" s="524"/>
    </row>
    <row r="41" spans="1:15" ht="39.75" customHeight="1" x14ac:dyDescent="0.2">
      <c r="A41" s="657">
        <v>7</v>
      </c>
      <c r="B41" s="536" t="s">
        <v>801</v>
      </c>
      <c r="C41" s="537" t="s">
        <v>802</v>
      </c>
      <c r="D41" s="524"/>
    </row>
    <row r="42" spans="1:15" ht="54" customHeight="1" x14ac:dyDescent="0.2">
      <c r="A42" s="657">
        <v>8</v>
      </c>
      <c r="B42" s="536" t="s">
        <v>857</v>
      </c>
      <c r="C42" s="689" t="s">
        <v>1224</v>
      </c>
      <c r="D42" s="524"/>
    </row>
    <row r="43" spans="1:15" ht="114" customHeight="1" x14ac:dyDescent="0.2">
      <c r="A43" s="657">
        <v>8</v>
      </c>
      <c r="B43" s="536" t="s">
        <v>316</v>
      </c>
      <c r="C43" s="691" t="s">
        <v>1226</v>
      </c>
      <c r="D43" s="691" t="s">
        <v>1227</v>
      </c>
    </row>
    <row r="44" spans="1:15" ht="114.75" customHeight="1" x14ac:dyDescent="0.2">
      <c r="A44" s="657">
        <v>8</v>
      </c>
      <c r="B44" s="536" t="s">
        <v>803</v>
      </c>
      <c r="C44" s="537" t="s">
        <v>804</v>
      </c>
      <c r="D44" s="541"/>
    </row>
    <row r="45" spans="1:15" ht="30" customHeight="1" x14ac:dyDescent="0.2">
      <c r="A45" s="657">
        <v>8</v>
      </c>
      <c r="B45" s="536" t="s">
        <v>1161</v>
      </c>
      <c r="C45" s="527" t="s">
        <v>805</v>
      </c>
      <c r="D45" s="524"/>
    </row>
    <row r="46" spans="1:15" ht="265.5" customHeight="1" x14ac:dyDescent="0.2">
      <c r="A46" s="657">
        <v>9</v>
      </c>
      <c r="B46" s="536" t="s">
        <v>739</v>
      </c>
      <c r="C46" s="688" t="s">
        <v>1223</v>
      </c>
      <c r="D46" s="524"/>
    </row>
    <row r="47" spans="1:15" ht="69" customHeight="1" x14ac:dyDescent="0.2">
      <c r="A47" s="657">
        <v>9</v>
      </c>
      <c r="B47" s="536" t="s">
        <v>162</v>
      </c>
      <c r="C47" s="527" t="s">
        <v>1168</v>
      </c>
      <c r="D47" s="524"/>
    </row>
    <row r="48" spans="1:15" ht="69.75" customHeight="1" x14ac:dyDescent="0.2">
      <c r="A48" s="657">
        <v>9</v>
      </c>
      <c r="B48" s="639" t="s">
        <v>398</v>
      </c>
      <c r="C48" s="523" t="s">
        <v>1169</v>
      </c>
      <c r="D48" s="524"/>
    </row>
    <row r="49" spans="1:9" ht="53.25" customHeight="1" x14ac:dyDescent="0.2">
      <c r="A49" s="657">
        <v>9</v>
      </c>
      <c r="B49" s="536" t="s">
        <v>407</v>
      </c>
      <c r="C49" s="542" t="s">
        <v>1170</v>
      </c>
      <c r="D49" s="524"/>
    </row>
    <row r="50" spans="1:9" ht="107.25" customHeight="1" x14ac:dyDescent="0.2">
      <c r="A50" s="655">
        <v>9</v>
      </c>
      <c r="B50" s="639" t="s">
        <v>806</v>
      </c>
      <c r="C50" s="543" t="s">
        <v>807</v>
      </c>
      <c r="D50" s="524"/>
    </row>
    <row r="51" spans="1:9" ht="18" customHeight="1" x14ac:dyDescent="0.2">
      <c r="A51" s="659"/>
      <c r="B51" s="544"/>
      <c r="C51" s="545" t="s">
        <v>808</v>
      </c>
      <c r="D51" s="524"/>
    </row>
    <row r="52" spans="1:9" ht="53.25" customHeight="1" x14ac:dyDescent="0.2">
      <c r="A52" s="659"/>
      <c r="B52" s="544"/>
      <c r="C52" s="543" t="s">
        <v>809</v>
      </c>
      <c r="D52" s="524"/>
    </row>
    <row r="53" spans="1:9" ht="21.75" customHeight="1" x14ac:dyDescent="0.2">
      <c r="A53" s="659"/>
      <c r="B53" s="544"/>
      <c r="C53" s="545" t="s">
        <v>810</v>
      </c>
      <c r="D53" s="524"/>
    </row>
    <row r="54" spans="1:9" ht="52.5" customHeight="1" x14ac:dyDescent="0.2">
      <c r="A54" s="659"/>
      <c r="B54" s="544"/>
      <c r="C54" s="543" t="s">
        <v>811</v>
      </c>
      <c r="D54" s="524"/>
    </row>
    <row r="55" spans="1:9" ht="19.5" customHeight="1" x14ac:dyDescent="0.2">
      <c r="A55" s="660"/>
      <c r="B55" s="544"/>
      <c r="C55" s="545" t="s">
        <v>812</v>
      </c>
      <c r="D55" s="524"/>
    </row>
    <row r="56" spans="1:9" ht="51" customHeight="1" x14ac:dyDescent="0.2">
      <c r="A56" s="660"/>
      <c r="B56" s="544"/>
      <c r="C56" s="543" t="s">
        <v>813</v>
      </c>
      <c r="D56" s="524"/>
    </row>
    <row r="57" spans="1:9" ht="19.5" customHeight="1" x14ac:dyDescent="0.2">
      <c r="A57" s="660"/>
      <c r="B57" s="544"/>
      <c r="C57" s="545" t="s">
        <v>814</v>
      </c>
      <c r="D57" s="524"/>
    </row>
    <row r="58" spans="1:9" ht="29.25" customHeight="1" x14ac:dyDescent="0.2">
      <c r="A58" s="660"/>
      <c r="B58" s="544"/>
      <c r="C58" s="543" t="s">
        <v>815</v>
      </c>
      <c r="D58" s="524"/>
    </row>
    <row r="59" spans="1:9" ht="19.5" customHeight="1" x14ac:dyDescent="0.2">
      <c r="A59" s="661"/>
      <c r="B59" s="544"/>
      <c r="C59" s="545" t="s">
        <v>816</v>
      </c>
      <c r="D59" s="524"/>
    </row>
    <row r="60" spans="1:9" ht="138.75" customHeight="1" x14ac:dyDescent="0.2">
      <c r="A60" s="657">
        <v>9</v>
      </c>
      <c r="B60" s="536" t="s">
        <v>817</v>
      </c>
      <c r="C60" s="523" t="s">
        <v>818</v>
      </c>
      <c r="D60" s="524"/>
    </row>
    <row r="61" spans="1:9" ht="171" customHeight="1" x14ac:dyDescent="0.2">
      <c r="A61" s="657">
        <v>9</v>
      </c>
      <c r="B61" s="529" t="s">
        <v>396</v>
      </c>
      <c r="C61" s="523" t="s">
        <v>819</v>
      </c>
      <c r="D61" s="524"/>
    </row>
    <row r="62" spans="1:9" ht="57" customHeight="1" x14ac:dyDescent="0.2">
      <c r="A62" s="657">
        <v>9</v>
      </c>
      <c r="B62" s="529" t="s">
        <v>820</v>
      </c>
      <c r="C62" s="523" t="s">
        <v>821</v>
      </c>
      <c r="D62" s="524"/>
    </row>
    <row r="63" spans="1:9" ht="213" customHeight="1" x14ac:dyDescent="0.2">
      <c r="A63" s="657">
        <v>9</v>
      </c>
      <c r="B63" s="536" t="s">
        <v>822</v>
      </c>
      <c r="C63" s="537" t="s">
        <v>823</v>
      </c>
      <c r="D63" s="546"/>
      <c r="I63" s="157"/>
    </row>
    <row r="64" spans="1:9" ht="60" customHeight="1" x14ac:dyDescent="0.2">
      <c r="A64" s="657">
        <v>9</v>
      </c>
      <c r="B64" s="536" t="s">
        <v>424</v>
      </c>
      <c r="C64" s="547" t="s">
        <v>824</v>
      </c>
      <c r="D64" s="548"/>
    </row>
    <row r="65" spans="1:4" ht="57.75" customHeight="1" x14ac:dyDescent="0.2">
      <c r="A65" s="655">
        <v>10</v>
      </c>
      <c r="B65" s="536" t="s">
        <v>739</v>
      </c>
      <c r="C65" s="640" t="s">
        <v>825</v>
      </c>
      <c r="D65" s="641"/>
    </row>
    <row r="66" spans="1:4" ht="60" customHeight="1" x14ac:dyDescent="0.2">
      <c r="A66" s="655">
        <v>10</v>
      </c>
      <c r="B66" s="536" t="s">
        <v>431</v>
      </c>
      <c r="C66" s="547" t="s">
        <v>826</v>
      </c>
      <c r="D66" s="641"/>
    </row>
    <row r="67" spans="1:4" ht="60" customHeight="1" x14ac:dyDescent="0.2">
      <c r="A67" s="655">
        <v>10</v>
      </c>
      <c r="B67" s="536" t="s">
        <v>827</v>
      </c>
      <c r="C67" s="535" t="s">
        <v>828</v>
      </c>
      <c r="D67" s="548"/>
    </row>
    <row r="68" spans="1:4" ht="60" customHeight="1" x14ac:dyDescent="0.2">
      <c r="A68" s="655">
        <v>10</v>
      </c>
      <c r="B68" s="536" t="s">
        <v>829</v>
      </c>
      <c r="C68" s="535" t="s">
        <v>830</v>
      </c>
      <c r="D68" s="548"/>
    </row>
    <row r="69" spans="1:4" ht="67.5" customHeight="1" x14ac:dyDescent="0.2">
      <c r="A69" s="655">
        <v>10</v>
      </c>
      <c r="B69" s="536" t="s">
        <v>162</v>
      </c>
      <c r="C69" s="535" t="s">
        <v>831</v>
      </c>
      <c r="D69" s="548"/>
    </row>
    <row r="70" spans="1:4" ht="81.75" customHeight="1" x14ac:dyDescent="0.2">
      <c r="A70" s="655">
        <v>10</v>
      </c>
      <c r="B70" s="536" t="s">
        <v>832</v>
      </c>
      <c r="C70" s="535" t="s">
        <v>833</v>
      </c>
      <c r="D70" s="548"/>
    </row>
    <row r="71" spans="1:4" ht="60" customHeight="1" x14ac:dyDescent="0.2">
      <c r="A71" s="655">
        <v>10</v>
      </c>
      <c r="B71" s="536" t="s">
        <v>834</v>
      </c>
      <c r="C71" s="535" t="s">
        <v>835</v>
      </c>
      <c r="D71" s="548"/>
    </row>
    <row r="72" spans="1:4" ht="60" customHeight="1" x14ac:dyDescent="0.2">
      <c r="A72" s="893">
        <v>10</v>
      </c>
      <c r="B72" s="895" t="s">
        <v>469</v>
      </c>
      <c r="C72" s="642" t="s">
        <v>1172</v>
      </c>
      <c r="D72" s="643"/>
    </row>
    <row r="73" spans="1:4" ht="19.5" customHeight="1" x14ac:dyDescent="0.2">
      <c r="A73" s="894"/>
      <c r="B73" s="896"/>
      <c r="C73" s="686" t="s">
        <v>836</v>
      </c>
      <c r="D73" s="493"/>
    </row>
    <row r="74" spans="1:4" ht="44.25" customHeight="1" x14ac:dyDescent="0.2">
      <c r="A74" s="655">
        <v>10</v>
      </c>
      <c r="B74" s="536" t="s">
        <v>837</v>
      </c>
      <c r="C74" s="644" t="s">
        <v>838</v>
      </c>
      <c r="D74" s="645"/>
    </row>
    <row r="75" spans="1:4" ht="45.75" customHeight="1" x14ac:dyDescent="0.2">
      <c r="A75" s="655">
        <v>10</v>
      </c>
      <c r="B75" s="536" t="s">
        <v>839</v>
      </c>
      <c r="C75" s="535" t="s">
        <v>840</v>
      </c>
      <c r="D75" s="548"/>
    </row>
    <row r="76" spans="1:4" ht="46.5" customHeight="1" x14ac:dyDescent="0.2">
      <c r="A76" s="655">
        <v>10</v>
      </c>
      <c r="B76" s="536" t="s">
        <v>841</v>
      </c>
      <c r="C76" s="535" t="s">
        <v>842</v>
      </c>
      <c r="D76" s="548"/>
    </row>
    <row r="77" spans="1:4" ht="86.25" customHeight="1" x14ac:dyDescent="0.2">
      <c r="A77" s="655">
        <v>10</v>
      </c>
      <c r="B77" s="536" t="s">
        <v>843</v>
      </c>
      <c r="C77" s="535" t="s">
        <v>844</v>
      </c>
      <c r="D77" s="548"/>
    </row>
    <row r="78" spans="1:4" ht="25.5" x14ac:dyDescent="0.2">
      <c r="A78" s="655">
        <v>10</v>
      </c>
      <c r="B78" s="536" t="s">
        <v>845</v>
      </c>
      <c r="C78" s="535" t="s">
        <v>846</v>
      </c>
      <c r="D78" s="548"/>
    </row>
    <row r="79" spans="1:4" ht="342" customHeight="1" x14ac:dyDescent="0.2">
      <c r="A79" s="655">
        <v>10</v>
      </c>
      <c r="B79" s="536" t="s">
        <v>847</v>
      </c>
      <c r="C79" s="537" t="s">
        <v>848</v>
      </c>
      <c r="D79" s="548"/>
    </row>
    <row r="80" spans="1:4" ht="125.25" customHeight="1" x14ac:dyDescent="0.2">
      <c r="A80" s="655">
        <v>10</v>
      </c>
      <c r="B80" s="536" t="s">
        <v>849</v>
      </c>
      <c r="C80" s="537" t="s">
        <v>1216</v>
      </c>
      <c r="D80" s="548"/>
    </row>
    <row r="81" spans="1:10" ht="72" customHeight="1" x14ac:dyDescent="0.2">
      <c r="A81" s="655">
        <v>10</v>
      </c>
      <c r="B81" s="536" t="s">
        <v>1217</v>
      </c>
      <c r="C81" s="535" t="s">
        <v>1218</v>
      </c>
      <c r="D81" s="548"/>
    </row>
    <row r="82" spans="1:10" ht="69" customHeight="1" x14ac:dyDescent="0.2">
      <c r="A82" s="655">
        <v>10</v>
      </c>
      <c r="B82" s="536" t="s">
        <v>1219</v>
      </c>
      <c r="C82" s="537" t="s">
        <v>1220</v>
      </c>
      <c r="D82" s="548"/>
    </row>
    <row r="83" spans="1:10" ht="108.75" customHeight="1" x14ac:dyDescent="0.2">
      <c r="A83" s="655">
        <v>10</v>
      </c>
      <c r="B83" s="536" t="s">
        <v>850</v>
      </c>
      <c r="C83" s="537" t="s">
        <v>1171</v>
      </c>
      <c r="D83" s="548"/>
    </row>
    <row r="84" spans="1:10" ht="130.5" customHeight="1" x14ac:dyDescent="0.2">
      <c r="A84" s="655">
        <v>10</v>
      </c>
      <c r="B84" s="536" t="s">
        <v>851</v>
      </c>
      <c r="C84" s="537" t="s">
        <v>852</v>
      </c>
      <c r="D84" s="548"/>
    </row>
    <row r="85" spans="1:10" ht="81.75" customHeight="1" x14ac:dyDescent="0.2">
      <c r="A85" s="655" t="s">
        <v>853</v>
      </c>
      <c r="B85" s="646" t="s">
        <v>739</v>
      </c>
      <c r="C85" s="647" t="s">
        <v>854</v>
      </c>
      <c r="D85" s="641"/>
    </row>
    <row r="86" spans="1:10" s="4" customFormat="1" ht="29.25" customHeight="1" x14ac:dyDescent="0.2">
      <c r="A86" s="655" t="s">
        <v>853</v>
      </c>
      <c r="B86" s="646" t="s">
        <v>855</v>
      </c>
      <c r="C86" s="648" t="s">
        <v>1221</v>
      </c>
      <c r="D86" s="493"/>
    </row>
    <row r="87" spans="1:10" ht="81" customHeight="1" x14ac:dyDescent="0.2">
      <c r="A87" s="655" t="s">
        <v>853</v>
      </c>
      <c r="B87" s="536" t="s">
        <v>856</v>
      </c>
      <c r="C87" s="547" t="s">
        <v>1222</v>
      </c>
      <c r="D87" s="641"/>
    </row>
    <row r="88" spans="1:10" ht="69" customHeight="1" x14ac:dyDescent="0.2">
      <c r="A88" s="655" t="s">
        <v>853</v>
      </c>
      <c r="B88" s="536" t="s">
        <v>857</v>
      </c>
      <c r="C88" s="689" t="s">
        <v>1228</v>
      </c>
      <c r="D88" s="548"/>
    </row>
    <row r="89" spans="1:10" ht="79.5" customHeight="1" x14ac:dyDescent="0.2">
      <c r="A89" s="656" t="s">
        <v>1234</v>
      </c>
      <c r="B89" s="646" t="s">
        <v>858</v>
      </c>
      <c r="C89" s="690" t="s">
        <v>1208</v>
      </c>
      <c r="D89" s="649"/>
    </row>
    <row r="90" spans="1:10" ht="51" x14ac:dyDescent="0.2">
      <c r="A90" s="656" t="s">
        <v>1234</v>
      </c>
      <c r="B90" s="646" t="s">
        <v>859</v>
      </c>
      <c r="C90" s="690" t="s">
        <v>1153</v>
      </c>
      <c r="D90" s="649"/>
      <c r="E90" s="549"/>
      <c r="F90" s="549"/>
      <c r="G90" s="549"/>
      <c r="H90" s="549"/>
      <c r="I90" s="549"/>
      <c r="J90" s="549"/>
    </row>
    <row r="91" spans="1:10" ht="42.6" customHeight="1" x14ac:dyDescent="0.2">
      <c r="A91" s="656" t="s">
        <v>1234</v>
      </c>
      <c r="B91" s="646" t="s">
        <v>860</v>
      </c>
      <c r="C91" s="547" t="s">
        <v>1225</v>
      </c>
      <c r="D91" s="649"/>
      <c r="E91" s="549"/>
      <c r="F91" s="549"/>
      <c r="G91" s="549"/>
      <c r="H91" s="549"/>
      <c r="I91" s="549"/>
      <c r="J91" s="549"/>
    </row>
    <row r="92" spans="1:10" ht="55.5" customHeight="1" x14ac:dyDescent="0.2">
      <c r="A92" s="656" t="s">
        <v>1234</v>
      </c>
      <c r="B92" s="646" t="s">
        <v>861</v>
      </c>
      <c r="C92" s="547" t="s">
        <v>862</v>
      </c>
      <c r="D92" s="649"/>
      <c r="E92" s="549"/>
      <c r="F92" s="549"/>
      <c r="G92" s="549"/>
      <c r="H92" s="549"/>
      <c r="I92" s="549"/>
      <c r="J92" s="549"/>
    </row>
    <row r="93" spans="1:10" ht="51" x14ac:dyDescent="0.2">
      <c r="A93" s="656" t="s">
        <v>1234</v>
      </c>
      <c r="B93" s="646" t="s">
        <v>863</v>
      </c>
      <c r="C93" s="547" t="s">
        <v>1230</v>
      </c>
      <c r="D93" s="649"/>
      <c r="E93" s="549"/>
      <c r="F93" s="549"/>
      <c r="G93" s="549"/>
      <c r="H93" s="549"/>
      <c r="I93" s="549"/>
      <c r="J93" s="549"/>
    </row>
    <row r="94" spans="1:10" ht="51" x14ac:dyDescent="0.2">
      <c r="A94" s="656" t="s">
        <v>1234</v>
      </c>
      <c r="B94" s="646" t="s">
        <v>864</v>
      </c>
      <c r="C94" s="690" t="s">
        <v>1154</v>
      </c>
      <c r="D94" s="649"/>
      <c r="E94" s="549"/>
      <c r="F94" s="549"/>
      <c r="G94" s="549"/>
      <c r="H94" s="549"/>
      <c r="I94" s="549"/>
      <c r="J94" s="549"/>
    </row>
    <row r="95" spans="1:10" ht="54" customHeight="1" x14ac:dyDescent="0.2">
      <c r="A95" s="656" t="s">
        <v>1234</v>
      </c>
      <c r="B95" s="536" t="s">
        <v>1155</v>
      </c>
      <c r="C95" s="690" t="s">
        <v>1156</v>
      </c>
      <c r="D95" s="649"/>
      <c r="E95" s="549"/>
      <c r="F95" s="549"/>
      <c r="G95" s="549"/>
      <c r="H95" s="549"/>
      <c r="I95" s="549"/>
      <c r="J95" s="549"/>
    </row>
    <row r="96" spans="1:10" ht="51" x14ac:dyDescent="0.3">
      <c r="A96" s="656" t="s">
        <v>1234</v>
      </c>
      <c r="B96" s="646" t="s">
        <v>865</v>
      </c>
      <c r="C96" s="648" t="s">
        <v>866</v>
      </c>
      <c r="D96" s="650"/>
    </row>
    <row r="97" spans="1:4" ht="51" x14ac:dyDescent="0.3">
      <c r="A97" s="656" t="s">
        <v>1234</v>
      </c>
      <c r="B97" s="646" t="s">
        <v>867</v>
      </c>
      <c r="C97" s="648" t="s">
        <v>868</v>
      </c>
      <c r="D97" s="650"/>
    </row>
    <row r="98" spans="1:4" ht="51" x14ac:dyDescent="0.3">
      <c r="A98" s="656" t="s">
        <v>1234</v>
      </c>
      <c r="B98" s="646" t="s">
        <v>869</v>
      </c>
      <c r="C98" s="648" t="s">
        <v>870</v>
      </c>
      <c r="D98" s="650"/>
    </row>
    <row r="99" spans="1:4" ht="56.25" customHeight="1" x14ac:dyDescent="0.3">
      <c r="A99" s="656" t="s">
        <v>1234</v>
      </c>
      <c r="B99" s="651" t="s">
        <v>871</v>
      </c>
      <c r="C99" s="648" t="s">
        <v>872</v>
      </c>
      <c r="D99" s="652"/>
    </row>
    <row r="100" spans="1:4" ht="51" x14ac:dyDescent="0.2">
      <c r="A100" s="656" t="s">
        <v>1234</v>
      </c>
      <c r="B100" s="536" t="s">
        <v>873</v>
      </c>
      <c r="C100" s="547" t="s">
        <v>1157</v>
      </c>
      <c r="D100" s="653"/>
    </row>
    <row r="101" spans="1:4" ht="95.1" customHeight="1" x14ac:dyDescent="0.2">
      <c r="A101" s="656" t="s">
        <v>1234</v>
      </c>
      <c r="B101" s="536" t="s">
        <v>874</v>
      </c>
      <c r="C101" s="672" t="s">
        <v>1231</v>
      </c>
      <c r="D101" s="654"/>
    </row>
    <row r="102" spans="1:4" ht="89.25" x14ac:dyDescent="0.2">
      <c r="A102" s="656" t="s">
        <v>1234</v>
      </c>
      <c r="B102" s="536" t="s">
        <v>875</v>
      </c>
      <c r="C102" s="672" t="s">
        <v>1158</v>
      </c>
      <c r="D102" s="654"/>
    </row>
    <row r="103" spans="1:4" x14ac:dyDescent="0.2">
      <c r="A103" s="550"/>
      <c r="C103" s="627"/>
      <c r="D103" s="551"/>
    </row>
    <row r="104" spans="1:4" x14ac:dyDescent="0.2">
      <c r="C104" s="627"/>
      <c r="D104" s="551"/>
    </row>
    <row r="105" spans="1:4" x14ac:dyDescent="0.2">
      <c r="C105" s="627"/>
      <c r="D105" s="551"/>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37000"/>
  <sheetViews>
    <sheetView topLeftCell="D1" workbookViewId="0">
      <selection activeCell="J676" sqref="J676"/>
    </sheetView>
  </sheetViews>
  <sheetFormatPr defaultColWidth="9.6640625" defaultRowHeight="15" x14ac:dyDescent="0.25"/>
  <cols>
    <col min="1" max="1" width="14.83203125" style="11" bestFit="1" customWidth="1"/>
    <col min="2" max="2" width="11.6640625" style="11" bestFit="1" customWidth="1"/>
    <col min="3" max="3" width="15.1640625" style="11" bestFit="1" customWidth="1"/>
    <col min="4" max="4" width="15.5" style="11" bestFit="1" customWidth="1"/>
    <col min="5" max="5" width="15.5" style="11" customWidth="1"/>
    <col min="6" max="6" width="62.5" style="11" bestFit="1" customWidth="1"/>
    <col min="7" max="7" width="25.1640625" style="700" bestFit="1" customWidth="1"/>
    <col min="8" max="8" width="60.33203125" style="11" bestFit="1" customWidth="1"/>
    <col min="9" max="9" width="53" style="11" bestFit="1" customWidth="1"/>
    <col min="10" max="10" width="50.33203125" style="11" bestFit="1" customWidth="1"/>
    <col min="11" max="11" width="100.1640625" style="11" bestFit="1" customWidth="1"/>
    <col min="12" max="12" width="9.6640625" style="11" customWidth="1"/>
    <col min="13" max="13" width="58.83203125" style="14" hidden="1" customWidth="1"/>
    <col min="14" max="14" width="55.33203125" style="14" hidden="1" customWidth="1"/>
    <col min="15" max="15" width="45.33203125" style="14" hidden="1" customWidth="1"/>
    <col min="16" max="16" width="90.1640625" style="14" hidden="1" customWidth="1"/>
    <col min="17" max="24" width="9.6640625" style="11" customWidth="1"/>
    <col min="25" max="25" width="21.33203125" style="11" hidden="1" customWidth="1"/>
    <col min="26" max="29" width="9.6640625" style="11" customWidth="1"/>
    <col min="30" max="16384" width="9.6640625" style="11"/>
  </cols>
  <sheetData>
    <row r="1" spans="1:25" ht="48" customHeight="1" x14ac:dyDescent="0.25">
      <c r="A1" s="10" t="s">
        <v>1242</v>
      </c>
      <c r="B1" s="10" t="s">
        <v>1243</v>
      </c>
      <c r="C1" s="10" t="s">
        <v>880</v>
      </c>
      <c r="D1" s="10" t="s">
        <v>881</v>
      </c>
      <c r="E1" s="10" t="s">
        <v>876</v>
      </c>
      <c r="F1" s="10" t="s">
        <v>877</v>
      </c>
      <c r="G1" s="697" t="s">
        <v>878</v>
      </c>
      <c r="H1" s="10" t="s">
        <v>879</v>
      </c>
      <c r="I1" s="10" t="s">
        <v>880</v>
      </c>
      <c r="J1" s="10" t="s">
        <v>881</v>
      </c>
      <c r="K1" s="10" t="s">
        <v>882</v>
      </c>
      <c r="L1" s="10" t="s">
        <v>883</v>
      </c>
      <c r="M1" s="17" t="s">
        <v>884</v>
      </c>
      <c r="N1" s="17" t="s">
        <v>885</v>
      </c>
      <c r="O1" s="17" t="s">
        <v>886</v>
      </c>
      <c r="P1" s="17" t="s">
        <v>887</v>
      </c>
    </row>
    <row r="2" spans="1:25" ht="14.25" customHeight="1" x14ac:dyDescent="0.25">
      <c r="A2" s="694">
        <v>41510</v>
      </c>
      <c r="B2" s="558">
        <v>1000</v>
      </c>
      <c r="C2" s="693">
        <v>100</v>
      </c>
      <c r="D2" s="558">
        <v>1000</v>
      </c>
      <c r="E2" s="12"/>
      <c r="F2" s="13" t="s">
        <v>1248</v>
      </c>
      <c r="G2" s="698">
        <v>-12831.2</v>
      </c>
      <c r="H2" s="12" t="s">
        <v>889</v>
      </c>
      <c r="I2" s="12" t="s">
        <v>893</v>
      </c>
      <c r="J2" s="12" t="s">
        <v>894</v>
      </c>
      <c r="K2" s="696" t="s">
        <v>951</v>
      </c>
      <c r="L2" s="12"/>
      <c r="M2" s="11"/>
      <c r="N2" s="11"/>
      <c r="O2" s="11"/>
      <c r="P2" s="11"/>
      <c r="Y2" s="11" t="s">
        <v>888</v>
      </c>
    </row>
    <row r="3" spans="1:25" ht="14.25" customHeight="1" x14ac:dyDescent="0.25">
      <c r="A3" s="695">
        <v>41610</v>
      </c>
      <c r="B3" s="558">
        <v>1591</v>
      </c>
      <c r="C3" s="693">
        <v>0</v>
      </c>
      <c r="D3" s="558">
        <v>0</v>
      </c>
      <c r="E3" s="12"/>
      <c r="F3" s="13" t="s">
        <v>1249</v>
      </c>
      <c r="G3" s="698">
        <v>-16765.7</v>
      </c>
      <c r="H3" s="12" t="s">
        <v>997</v>
      </c>
      <c r="I3" s="12" t="s">
        <v>21</v>
      </c>
      <c r="J3" s="12" t="s">
        <v>21</v>
      </c>
      <c r="K3" s="12" t="s">
        <v>955</v>
      </c>
      <c r="L3" s="12"/>
      <c r="M3" s="15" t="s">
        <v>889</v>
      </c>
      <c r="N3" s="18" t="s">
        <v>888</v>
      </c>
      <c r="O3" s="18" t="s">
        <v>888</v>
      </c>
      <c r="P3" s="18" t="s">
        <v>888</v>
      </c>
      <c r="Y3" s="11" t="s">
        <v>21</v>
      </c>
    </row>
    <row r="4" spans="1:25" ht="14.25" customHeight="1" x14ac:dyDescent="0.25">
      <c r="A4" s="695">
        <v>41610</v>
      </c>
      <c r="B4" s="558">
        <v>1591</v>
      </c>
      <c r="C4" s="693">
        <v>100</v>
      </c>
      <c r="D4" s="558">
        <v>1000</v>
      </c>
      <c r="E4" s="12"/>
      <c r="F4" s="13" t="s">
        <v>1249</v>
      </c>
      <c r="G4" s="698">
        <v>-3499.11</v>
      </c>
      <c r="H4" s="12" t="s">
        <v>997</v>
      </c>
      <c r="I4" s="12" t="s">
        <v>893</v>
      </c>
      <c r="J4" s="12" t="s">
        <v>894</v>
      </c>
      <c r="K4" s="12" t="s">
        <v>955</v>
      </c>
      <c r="L4" s="12"/>
      <c r="M4" s="18" t="s">
        <v>890</v>
      </c>
      <c r="N4" s="18" t="s">
        <v>21</v>
      </c>
      <c r="O4" s="18" t="s">
        <v>21</v>
      </c>
      <c r="P4" s="18" t="s">
        <v>891</v>
      </c>
      <c r="Y4" s="11">
        <f>'School listing'!F7</f>
        <v>0</v>
      </c>
    </row>
    <row r="5" spans="1:25" ht="14.25" customHeight="1" x14ac:dyDescent="0.25">
      <c r="A5" s="694">
        <v>41610</v>
      </c>
      <c r="B5" s="558">
        <v>1591</v>
      </c>
      <c r="C5" s="693">
        <v>100</v>
      </c>
      <c r="D5" s="558">
        <v>3100</v>
      </c>
      <c r="E5" s="21"/>
      <c r="F5" s="21" t="s">
        <v>1249</v>
      </c>
      <c r="G5" s="699">
        <v>13.3</v>
      </c>
      <c r="H5" s="21" t="s">
        <v>997</v>
      </c>
      <c r="I5" s="21" t="s">
        <v>893</v>
      </c>
      <c r="J5" s="21" t="s">
        <v>942</v>
      </c>
      <c r="K5" s="21" t="s">
        <v>955</v>
      </c>
      <c r="L5" s="21"/>
      <c r="M5" s="18" t="s">
        <v>892</v>
      </c>
      <c r="N5" s="18" t="s">
        <v>893</v>
      </c>
      <c r="O5" s="18" t="s">
        <v>894</v>
      </c>
      <c r="P5" s="18" t="s">
        <v>895</v>
      </c>
      <c r="Y5" s="11">
        <f>'School listing'!F8</f>
        <v>0</v>
      </c>
    </row>
    <row r="6" spans="1:25" ht="14.25" customHeight="1" x14ac:dyDescent="0.25">
      <c r="A6" s="695">
        <v>41701</v>
      </c>
      <c r="B6" s="558">
        <v>1000</v>
      </c>
      <c r="C6" s="693">
        <v>100</v>
      </c>
      <c r="D6" s="558">
        <v>1000</v>
      </c>
      <c r="E6" s="12"/>
      <c r="F6" s="13" t="s">
        <v>1250</v>
      </c>
      <c r="G6" s="698">
        <v>-285.83</v>
      </c>
      <c r="H6" s="12" t="s">
        <v>889</v>
      </c>
      <c r="I6" s="12" t="s">
        <v>893</v>
      </c>
      <c r="J6" s="12" t="s">
        <v>894</v>
      </c>
      <c r="K6" s="12" t="s">
        <v>959</v>
      </c>
      <c r="L6" s="12"/>
      <c r="M6" s="18" t="s">
        <v>896</v>
      </c>
      <c r="N6" s="18" t="s">
        <v>897</v>
      </c>
      <c r="O6" s="18" t="s">
        <v>898</v>
      </c>
      <c r="P6" s="18" t="s">
        <v>899</v>
      </c>
      <c r="Y6" s="11">
        <f>'School listing'!F9</f>
        <v>0</v>
      </c>
    </row>
    <row r="7" spans="1:25" ht="14.25" customHeight="1" x14ac:dyDescent="0.25">
      <c r="A7" s="695">
        <v>41701</v>
      </c>
      <c r="B7" s="558">
        <v>1000</v>
      </c>
      <c r="C7" s="693">
        <v>400</v>
      </c>
      <c r="D7" s="558">
        <v>0</v>
      </c>
      <c r="E7" s="12"/>
      <c r="F7" s="13" t="s">
        <v>1250</v>
      </c>
      <c r="G7" s="698">
        <v>-330</v>
      </c>
      <c r="H7" s="12" t="s">
        <v>889</v>
      </c>
      <c r="I7" s="12" t="s">
        <v>913</v>
      </c>
      <c r="J7" s="12" t="s">
        <v>21</v>
      </c>
      <c r="K7" s="12" t="s">
        <v>959</v>
      </c>
      <c r="L7" s="12"/>
      <c r="M7" s="18" t="s">
        <v>900</v>
      </c>
      <c r="N7" s="19" t="s">
        <v>901</v>
      </c>
      <c r="O7" s="18" t="s">
        <v>902</v>
      </c>
      <c r="P7" s="18" t="s">
        <v>903</v>
      </c>
      <c r="Y7" s="11">
        <f>'School listing'!F10</f>
        <v>300</v>
      </c>
    </row>
    <row r="8" spans="1:25" ht="14.25" customHeight="1" x14ac:dyDescent="0.25">
      <c r="A8" s="695">
        <v>41701</v>
      </c>
      <c r="B8" s="558">
        <v>1000</v>
      </c>
      <c r="C8" s="693">
        <v>400</v>
      </c>
      <c r="D8" s="558">
        <v>1000</v>
      </c>
      <c r="E8" s="12"/>
      <c r="F8" s="13" t="s">
        <v>1250</v>
      </c>
      <c r="G8" s="698">
        <v>-300</v>
      </c>
      <c r="H8" s="12" t="s">
        <v>889</v>
      </c>
      <c r="I8" s="12" t="s">
        <v>913</v>
      </c>
      <c r="J8" s="12" t="s">
        <v>894</v>
      </c>
      <c r="K8" s="12" t="s">
        <v>959</v>
      </c>
      <c r="L8" s="12"/>
      <c r="M8" s="18" t="s">
        <v>904</v>
      </c>
      <c r="N8" s="19" t="s">
        <v>905</v>
      </c>
      <c r="O8" s="18" t="s">
        <v>906</v>
      </c>
      <c r="P8" s="18" t="s">
        <v>907</v>
      </c>
      <c r="Y8" s="11">
        <f>'School listing'!F11</f>
        <v>0</v>
      </c>
    </row>
    <row r="9" spans="1:25" ht="14.25" customHeight="1" x14ac:dyDescent="0.25">
      <c r="A9" s="695">
        <v>41701</v>
      </c>
      <c r="B9" s="558">
        <v>1710</v>
      </c>
      <c r="C9" s="693">
        <v>611</v>
      </c>
      <c r="D9" s="558">
        <v>0</v>
      </c>
      <c r="E9" s="12"/>
      <c r="F9" s="13" t="s">
        <v>1250</v>
      </c>
      <c r="G9" s="698">
        <v>-20</v>
      </c>
      <c r="H9" s="12" t="s">
        <v>997</v>
      </c>
      <c r="I9" s="12" t="s">
        <v>937</v>
      </c>
      <c r="J9" s="12" t="s">
        <v>21</v>
      </c>
      <c r="K9" s="12" t="s">
        <v>959</v>
      </c>
      <c r="L9" s="12"/>
      <c r="M9" s="18" t="s">
        <v>908</v>
      </c>
      <c r="N9" s="19" t="s">
        <v>909</v>
      </c>
      <c r="O9" s="18" t="s">
        <v>910</v>
      </c>
      <c r="P9" s="18" t="s">
        <v>911</v>
      </c>
      <c r="Y9" s="11">
        <f>'School listing'!F12</f>
        <v>0</v>
      </c>
    </row>
    <row r="10" spans="1:25" x14ac:dyDescent="0.25">
      <c r="A10" s="695">
        <v>41701</v>
      </c>
      <c r="B10" s="558">
        <v>1710</v>
      </c>
      <c r="C10" s="693">
        <v>611</v>
      </c>
      <c r="D10" s="558">
        <v>1000</v>
      </c>
      <c r="F10" s="16" t="s">
        <v>1250</v>
      </c>
      <c r="G10" s="698">
        <v>-1449</v>
      </c>
      <c r="H10" s="12" t="s">
        <v>997</v>
      </c>
      <c r="I10" s="12" t="s">
        <v>937</v>
      </c>
      <c r="J10" s="12" t="s">
        <v>894</v>
      </c>
      <c r="K10" s="12" t="s">
        <v>959</v>
      </c>
      <c r="L10" s="12"/>
      <c r="M10" s="18" t="s">
        <v>912</v>
      </c>
      <c r="N10" s="18" t="s">
        <v>913</v>
      </c>
      <c r="O10" s="18" t="s">
        <v>914</v>
      </c>
      <c r="P10" s="18" t="s">
        <v>915</v>
      </c>
      <c r="Y10" s="11">
        <f>'School listing'!F13</f>
        <v>0</v>
      </c>
    </row>
    <row r="11" spans="1:25" x14ac:dyDescent="0.25">
      <c r="A11" s="695">
        <v>41701</v>
      </c>
      <c r="B11" s="558">
        <v>1731</v>
      </c>
      <c r="C11" s="693">
        <v>620</v>
      </c>
      <c r="D11" s="558">
        <v>0</v>
      </c>
      <c r="F11" s="11" t="s">
        <v>1250</v>
      </c>
      <c r="G11" s="698">
        <v>-50</v>
      </c>
      <c r="H11" s="12" t="s">
        <v>997</v>
      </c>
      <c r="I11" s="12" t="s">
        <v>941</v>
      </c>
      <c r="J11" s="12" t="s">
        <v>21</v>
      </c>
      <c r="K11" s="12" t="s">
        <v>959</v>
      </c>
      <c r="L11" s="12"/>
      <c r="M11" s="18" t="s">
        <v>916</v>
      </c>
      <c r="N11" s="19" t="s">
        <v>917</v>
      </c>
      <c r="O11" s="18" t="s">
        <v>918</v>
      </c>
      <c r="P11" s="18" t="s">
        <v>919</v>
      </c>
      <c r="Y11" s="11">
        <f>'School listing'!F14</f>
        <v>0</v>
      </c>
    </row>
    <row r="12" spans="1:25" x14ac:dyDescent="0.25">
      <c r="A12" s="695">
        <v>41701</v>
      </c>
      <c r="B12" s="558">
        <v>1734</v>
      </c>
      <c r="C12" s="693">
        <v>620</v>
      </c>
      <c r="D12" s="558">
        <v>0</v>
      </c>
      <c r="F12" s="11" t="s">
        <v>1250</v>
      </c>
      <c r="G12" s="698">
        <v>-100</v>
      </c>
      <c r="H12" s="12" t="s">
        <v>997</v>
      </c>
      <c r="I12" s="12" t="s">
        <v>941</v>
      </c>
      <c r="J12" s="12" t="s">
        <v>21</v>
      </c>
      <c r="K12" s="12" t="s">
        <v>959</v>
      </c>
      <c r="L12" s="12"/>
      <c r="M12" s="18" t="s">
        <v>920</v>
      </c>
      <c r="N12" s="19" t="s">
        <v>921</v>
      </c>
      <c r="O12" s="18" t="s">
        <v>922</v>
      </c>
      <c r="P12" s="18" t="s">
        <v>923</v>
      </c>
      <c r="Y12" s="11">
        <f>'School listing'!F15</f>
        <v>0</v>
      </c>
    </row>
    <row r="13" spans="1:25" x14ac:dyDescent="0.25">
      <c r="A13" s="695">
        <v>41701</v>
      </c>
      <c r="B13" s="558">
        <v>1751</v>
      </c>
      <c r="C13" s="693">
        <v>100</v>
      </c>
      <c r="D13" s="558">
        <v>1000</v>
      </c>
      <c r="F13" s="11" t="s">
        <v>1250</v>
      </c>
      <c r="G13" s="698">
        <v>-200</v>
      </c>
      <c r="H13" s="12" t="s">
        <v>997</v>
      </c>
      <c r="I13" s="12" t="s">
        <v>893</v>
      </c>
      <c r="J13" s="12" t="s">
        <v>894</v>
      </c>
      <c r="K13" s="12" t="s">
        <v>959</v>
      </c>
      <c r="L13" s="12"/>
      <c r="M13" s="18" t="s">
        <v>924</v>
      </c>
      <c r="N13" s="18" t="s">
        <v>925</v>
      </c>
      <c r="O13" s="18" t="s">
        <v>926</v>
      </c>
      <c r="P13" s="18" t="s">
        <v>927</v>
      </c>
      <c r="Y13" s="11">
        <f>'School listing'!F16</f>
        <v>0</v>
      </c>
    </row>
    <row r="14" spans="1:25" x14ac:dyDescent="0.25">
      <c r="A14" s="695">
        <v>41701</v>
      </c>
      <c r="B14" s="558">
        <v>1752</v>
      </c>
      <c r="C14" s="693">
        <v>615</v>
      </c>
      <c r="D14" s="558">
        <v>1000</v>
      </c>
      <c r="F14" s="11" t="s">
        <v>1250</v>
      </c>
      <c r="G14" s="698">
        <v>-20</v>
      </c>
      <c r="H14" s="12" t="s">
        <v>997</v>
      </c>
      <c r="I14" s="12" t="s">
        <v>937</v>
      </c>
      <c r="J14" s="12" t="s">
        <v>894</v>
      </c>
      <c r="K14" s="12" t="s">
        <v>959</v>
      </c>
      <c r="L14" s="12"/>
      <c r="M14" s="18" t="s">
        <v>928</v>
      </c>
      <c r="N14" s="18" t="s">
        <v>929</v>
      </c>
      <c r="O14" s="18" t="s">
        <v>930</v>
      </c>
      <c r="P14" s="18" t="s">
        <v>931</v>
      </c>
      <c r="Y14" s="11">
        <f>'School listing'!F17</f>
        <v>0</v>
      </c>
    </row>
    <row r="15" spans="1:25" x14ac:dyDescent="0.25">
      <c r="A15" s="695">
        <v>41701</v>
      </c>
      <c r="B15" s="558">
        <v>1810</v>
      </c>
      <c r="C15" s="693">
        <v>615</v>
      </c>
      <c r="D15" s="558">
        <v>1000</v>
      </c>
      <c r="F15" s="11" t="s">
        <v>1250</v>
      </c>
      <c r="G15" s="698">
        <v>-585</v>
      </c>
      <c r="H15" s="12" t="s">
        <v>997</v>
      </c>
      <c r="I15" s="12" t="s">
        <v>937</v>
      </c>
      <c r="J15" s="12" t="s">
        <v>894</v>
      </c>
      <c r="K15" s="12" t="s">
        <v>959</v>
      </c>
      <c r="L15" s="12"/>
      <c r="M15" s="18" t="s">
        <v>932</v>
      </c>
      <c r="N15" s="18" t="s">
        <v>933</v>
      </c>
      <c r="O15" s="18" t="s">
        <v>934</v>
      </c>
      <c r="P15" s="20" t="s">
        <v>935</v>
      </c>
      <c r="Y15" s="11">
        <f>'School listing'!F18</f>
        <v>0</v>
      </c>
    </row>
    <row r="16" spans="1:25" x14ac:dyDescent="0.25">
      <c r="A16" s="695">
        <v>41701</v>
      </c>
      <c r="B16" s="558">
        <v>1910</v>
      </c>
      <c r="C16" s="693">
        <v>0</v>
      </c>
      <c r="D16" s="558">
        <v>0</v>
      </c>
      <c r="F16" s="11" t="s">
        <v>1250</v>
      </c>
      <c r="G16" s="698">
        <v>-500</v>
      </c>
      <c r="H16" s="12" t="s">
        <v>997</v>
      </c>
      <c r="I16" s="12" t="s">
        <v>21</v>
      </c>
      <c r="J16" s="12" t="s">
        <v>21</v>
      </c>
      <c r="K16" s="12" t="s">
        <v>959</v>
      </c>
      <c r="L16" s="12"/>
      <c r="M16" s="18" t="s">
        <v>936</v>
      </c>
      <c r="N16" s="18" t="s">
        <v>937</v>
      </c>
      <c r="O16" s="18" t="s">
        <v>938</v>
      </c>
      <c r="P16" s="20" t="s">
        <v>939</v>
      </c>
      <c r="Y16" s="11">
        <f>'School listing'!F19</f>
        <v>0</v>
      </c>
    </row>
    <row r="17" spans="1:25" x14ac:dyDescent="0.25">
      <c r="A17" s="694">
        <v>41701</v>
      </c>
      <c r="B17" s="558">
        <v>1910</v>
      </c>
      <c r="C17" s="693">
        <v>615</v>
      </c>
      <c r="D17" s="558">
        <v>1000</v>
      </c>
      <c r="F17" s="11" t="s">
        <v>1250</v>
      </c>
      <c r="G17" s="698">
        <v>-683.5</v>
      </c>
      <c r="H17" s="12" t="s">
        <v>997</v>
      </c>
      <c r="I17" s="12" t="s">
        <v>937</v>
      </c>
      <c r="J17" s="12" t="s">
        <v>894</v>
      </c>
      <c r="K17" s="12" t="s">
        <v>959</v>
      </c>
      <c r="L17" s="12"/>
      <c r="M17" s="18" t="s">
        <v>940</v>
      </c>
      <c r="N17" s="18" t="s">
        <v>941</v>
      </c>
      <c r="O17" s="18" t="s">
        <v>942</v>
      </c>
      <c r="P17" s="20" t="s">
        <v>943</v>
      </c>
      <c r="Y17" s="11">
        <f>'School listing'!F20</f>
        <v>0</v>
      </c>
    </row>
    <row r="18" spans="1:25" x14ac:dyDescent="0.25">
      <c r="A18" s="694">
        <v>41750</v>
      </c>
      <c r="B18" s="558">
        <v>1860</v>
      </c>
      <c r="C18" s="693">
        <v>100</v>
      </c>
      <c r="D18" s="558">
        <v>0</v>
      </c>
      <c r="F18" s="11" t="s">
        <v>1251</v>
      </c>
      <c r="G18" s="698">
        <v>-20</v>
      </c>
      <c r="H18" s="12" t="s">
        <v>997</v>
      </c>
      <c r="I18" s="12" t="s">
        <v>893</v>
      </c>
      <c r="J18" s="12" t="s">
        <v>21</v>
      </c>
      <c r="K18" s="12" t="s">
        <v>961</v>
      </c>
      <c r="L18" s="12"/>
      <c r="M18" s="18" t="s">
        <v>944</v>
      </c>
      <c r="N18" s="18" t="s">
        <v>945</v>
      </c>
      <c r="O18" s="18" t="s">
        <v>946</v>
      </c>
      <c r="P18" s="20" t="s">
        <v>947</v>
      </c>
      <c r="Y18" s="11">
        <f>'School listing'!F21</f>
        <v>0</v>
      </c>
    </row>
    <row r="19" spans="1:25" x14ac:dyDescent="0.25">
      <c r="A19" s="695">
        <v>41791</v>
      </c>
      <c r="B19" s="558">
        <v>1601</v>
      </c>
      <c r="C19" s="693">
        <v>100</v>
      </c>
      <c r="D19" s="558">
        <v>0</v>
      </c>
      <c r="F19" s="11" t="s">
        <v>1252</v>
      </c>
      <c r="G19" s="698">
        <v>0</v>
      </c>
      <c r="H19" s="12" t="s">
        <v>997</v>
      </c>
      <c r="I19" s="12" t="s">
        <v>893</v>
      </c>
      <c r="J19" s="12" t="s">
        <v>21</v>
      </c>
      <c r="K19" s="12" t="s">
        <v>963</v>
      </c>
      <c r="L19" s="12"/>
      <c r="M19" s="18" t="s">
        <v>948</v>
      </c>
      <c r="N19" s="18" t="s">
        <v>949</v>
      </c>
      <c r="O19" s="18" t="s">
        <v>950</v>
      </c>
      <c r="P19" s="20" t="s">
        <v>951</v>
      </c>
      <c r="Y19" s="11">
        <f>'School listing'!F22</f>
        <v>0</v>
      </c>
    </row>
    <row r="20" spans="1:25" x14ac:dyDescent="0.25">
      <c r="A20" s="695">
        <v>41791</v>
      </c>
      <c r="B20" s="558">
        <v>1601</v>
      </c>
      <c r="C20" s="693">
        <v>610</v>
      </c>
      <c r="D20" s="558">
        <v>0</v>
      </c>
      <c r="F20" s="11" t="s">
        <v>1252</v>
      </c>
      <c r="G20" s="698">
        <v>-181.87</v>
      </c>
      <c r="H20" s="12" t="s">
        <v>997</v>
      </c>
      <c r="I20" s="12" t="s">
        <v>937</v>
      </c>
      <c r="J20" s="12" t="s">
        <v>21</v>
      </c>
      <c r="K20" s="12" t="s">
        <v>963</v>
      </c>
      <c r="L20" s="12"/>
      <c r="M20" s="18" t="s">
        <v>952</v>
      </c>
      <c r="N20" s="18" t="s">
        <v>953</v>
      </c>
      <c r="O20" s="18" t="s">
        <v>954</v>
      </c>
      <c r="P20" s="20" t="s">
        <v>955</v>
      </c>
      <c r="Y20" s="11">
        <f>'School listing'!F23</f>
        <v>0</v>
      </c>
    </row>
    <row r="21" spans="1:25" x14ac:dyDescent="0.25">
      <c r="A21" s="695">
        <v>41791</v>
      </c>
      <c r="B21" s="558">
        <v>1601</v>
      </c>
      <c r="C21" s="693">
        <v>610</v>
      </c>
      <c r="D21" s="558">
        <v>1000</v>
      </c>
      <c r="F21" s="11" t="s">
        <v>1252</v>
      </c>
      <c r="G21" s="698">
        <v>126.87</v>
      </c>
      <c r="H21" s="12" t="s">
        <v>997</v>
      </c>
      <c r="I21" s="12" t="s">
        <v>937</v>
      </c>
      <c r="J21" s="12" t="s">
        <v>894</v>
      </c>
      <c r="K21" s="12" t="s">
        <v>963</v>
      </c>
      <c r="L21" s="12"/>
      <c r="M21" s="18" t="s">
        <v>956</v>
      </c>
      <c r="N21" s="18" t="s">
        <v>957</v>
      </c>
      <c r="O21" s="18" t="s">
        <v>958</v>
      </c>
      <c r="P21" s="20" t="s">
        <v>959</v>
      </c>
      <c r="Y21" s="11">
        <f>'School listing'!F24</f>
        <v>0</v>
      </c>
    </row>
    <row r="22" spans="1:25" x14ac:dyDescent="0.25">
      <c r="A22" s="694">
        <v>41791</v>
      </c>
      <c r="B22" s="558">
        <v>1731</v>
      </c>
      <c r="C22" s="693">
        <v>610</v>
      </c>
      <c r="D22" s="558">
        <v>1000</v>
      </c>
      <c r="F22" s="11" t="s">
        <v>1252</v>
      </c>
      <c r="G22" s="698">
        <v>-727.87</v>
      </c>
      <c r="H22" s="12" t="s">
        <v>997</v>
      </c>
      <c r="I22" s="12" t="s">
        <v>937</v>
      </c>
      <c r="J22" s="12" t="s">
        <v>894</v>
      </c>
      <c r="K22" s="12" t="s">
        <v>963</v>
      </c>
      <c r="L22" s="12"/>
      <c r="M22" s="18" t="s">
        <v>960</v>
      </c>
      <c r="N22" s="11"/>
      <c r="P22" s="20" t="s">
        <v>961</v>
      </c>
    </row>
    <row r="23" spans="1:25" x14ac:dyDescent="0.25">
      <c r="A23" s="695">
        <v>41792</v>
      </c>
      <c r="B23" s="558">
        <v>1601</v>
      </c>
      <c r="C23" s="693">
        <v>611</v>
      </c>
      <c r="D23" s="558">
        <v>1000</v>
      </c>
      <c r="F23" s="11" t="s">
        <v>1253</v>
      </c>
      <c r="G23" s="698">
        <v>-400</v>
      </c>
      <c r="H23" s="12" t="s">
        <v>997</v>
      </c>
      <c r="I23" s="12" t="s">
        <v>937</v>
      </c>
      <c r="J23" s="12" t="s">
        <v>894</v>
      </c>
      <c r="K23" s="12" t="s">
        <v>963</v>
      </c>
      <c r="L23" s="12"/>
      <c r="M23" s="18" t="s">
        <v>962</v>
      </c>
      <c r="N23" s="11"/>
      <c r="P23" s="20" t="s">
        <v>963</v>
      </c>
    </row>
    <row r="24" spans="1:25" x14ac:dyDescent="0.25">
      <c r="A24" s="694">
        <v>41792</v>
      </c>
      <c r="B24" s="558">
        <v>1601</v>
      </c>
      <c r="C24" s="693">
        <v>613</v>
      </c>
      <c r="D24" s="558">
        <v>1000</v>
      </c>
      <c r="F24" s="11" t="s">
        <v>1253</v>
      </c>
      <c r="G24" s="698">
        <v>-200</v>
      </c>
      <c r="H24" s="12" t="s">
        <v>997</v>
      </c>
      <c r="I24" s="12" t="s">
        <v>937</v>
      </c>
      <c r="J24" s="12" t="s">
        <v>894</v>
      </c>
      <c r="K24" s="12" t="s">
        <v>963</v>
      </c>
      <c r="L24" s="12"/>
      <c r="M24" s="18" t="s">
        <v>964</v>
      </c>
      <c r="N24" s="11"/>
      <c r="O24" s="11"/>
      <c r="P24" s="20" t="s">
        <v>965</v>
      </c>
    </row>
    <row r="25" spans="1:25" x14ac:dyDescent="0.25">
      <c r="A25" s="695">
        <v>41920</v>
      </c>
      <c r="B25" s="558">
        <v>1000</v>
      </c>
      <c r="C25" s="693">
        <v>100</v>
      </c>
      <c r="D25" s="558">
        <v>1000</v>
      </c>
      <c r="F25" s="11" t="s">
        <v>1254</v>
      </c>
      <c r="G25" s="698">
        <v>-1666.39</v>
      </c>
      <c r="H25" s="12" t="s">
        <v>889</v>
      </c>
      <c r="I25" s="12" t="s">
        <v>893</v>
      </c>
      <c r="J25" s="12" t="s">
        <v>894</v>
      </c>
      <c r="K25" s="12" t="s">
        <v>969</v>
      </c>
      <c r="L25" s="12"/>
      <c r="M25" s="18" t="s">
        <v>966</v>
      </c>
      <c r="N25" s="11"/>
      <c r="O25" s="11"/>
      <c r="P25" s="20" t="s">
        <v>967</v>
      </c>
    </row>
    <row r="26" spans="1:25" x14ac:dyDescent="0.25">
      <c r="A26" s="694">
        <v>41920</v>
      </c>
      <c r="B26" s="558">
        <v>1910</v>
      </c>
      <c r="C26" s="693">
        <v>615</v>
      </c>
      <c r="D26" s="558">
        <v>1000</v>
      </c>
      <c r="F26" s="11" t="s">
        <v>1254</v>
      </c>
      <c r="G26" s="698">
        <v>-590.29999999999995</v>
      </c>
      <c r="H26" s="12" t="s">
        <v>997</v>
      </c>
      <c r="I26" s="12" t="s">
        <v>937</v>
      </c>
      <c r="J26" s="12" t="s">
        <v>894</v>
      </c>
      <c r="K26" s="12" t="s">
        <v>969</v>
      </c>
      <c r="L26" s="12"/>
      <c r="M26" s="18" t="s">
        <v>968</v>
      </c>
      <c r="N26" s="11"/>
      <c r="O26" s="11"/>
      <c r="P26" s="20" t="s">
        <v>969</v>
      </c>
    </row>
    <row r="27" spans="1:25" x14ac:dyDescent="0.25">
      <c r="A27" s="694">
        <v>41922</v>
      </c>
      <c r="B27" s="558">
        <v>1000</v>
      </c>
      <c r="C27" s="693">
        <v>100</v>
      </c>
      <c r="D27" s="558">
        <v>1000</v>
      </c>
      <c r="F27" s="11" t="s">
        <v>1255</v>
      </c>
      <c r="G27" s="698">
        <v>-3137.7</v>
      </c>
      <c r="H27" s="12" t="s">
        <v>889</v>
      </c>
      <c r="I27" s="12" t="s">
        <v>893</v>
      </c>
      <c r="J27" s="12" t="s">
        <v>894</v>
      </c>
      <c r="K27" s="12" t="s">
        <v>969</v>
      </c>
      <c r="L27" s="12"/>
      <c r="M27" s="18" t="s">
        <v>970</v>
      </c>
      <c r="N27" s="11"/>
      <c r="O27" s="11"/>
      <c r="P27" s="20" t="s">
        <v>971</v>
      </c>
    </row>
    <row r="28" spans="1:25" x14ac:dyDescent="0.25">
      <c r="A28" s="695">
        <v>41949</v>
      </c>
      <c r="B28" s="558">
        <v>1000</v>
      </c>
      <c r="C28" s="693">
        <v>100</v>
      </c>
      <c r="D28" s="558">
        <v>0</v>
      </c>
      <c r="F28" s="11" t="s">
        <v>1256</v>
      </c>
      <c r="G28" s="698">
        <v>0</v>
      </c>
      <c r="H28" s="12" t="s">
        <v>889</v>
      </c>
      <c r="I28" s="12" t="s">
        <v>893</v>
      </c>
      <c r="J28" s="12" t="s">
        <v>21</v>
      </c>
      <c r="K28" s="12" t="s">
        <v>969</v>
      </c>
      <c r="L28" s="12"/>
      <c r="M28" s="18" t="s">
        <v>972</v>
      </c>
      <c r="N28" s="11"/>
      <c r="O28" s="11"/>
      <c r="P28" s="20" t="s">
        <v>973</v>
      </c>
    </row>
    <row r="29" spans="1:25" x14ac:dyDescent="0.25">
      <c r="A29" s="694">
        <v>41949</v>
      </c>
      <c r="B29" s="558">
        <v>1000</v>
      </c>
      <c r="C29" s="693">
        <v>100</v>
      </c>
      <c r="D29" s="558">
        <v>1000</v>
      </c>
      <c r="F29" s="11" t="s">
        <v>1256</v>
      </c>
      <c r="G29" s="698">
        <v>-3387.67</v>
      </c>
      <c r="H29" s="12" t="s">
        <v>889</v>
      </c>
      <c r="I29" s="12" t="s">
        <v>893</v>
      </c>
      <c r="J29" s="12" t="s">
        <v>894</v>
      </c>
      <c r="K29" s="12" t="s">
        <v>969</v>
      </c>
      <c r="L29" s="12"/>
      <c r="M29" s="18" t="s">
        <v>974</v>
      </c>
      <c r="N29" s="11"/>
      <c r="O29" s="11"/>
      <c r="P29" s="20" t="s">
        <v>975</v>
      </c>
    </row>
    <row r="30" spans="1:25" x14ac:dyDescent="0.25">
      <c r="A30" s="694">
        <v>41971</v>
      </c>
      <c r="B30" s="558">
        <v>1000</v>
      </c>
      <c r="C30" s="693">
        <v>100</v>
      </c>
      <c r="D30" s="558">
        <v>1000</v>
      </c>
      <c r="F30" s="11" t="s">
        <v>1257</v>
      </c>
      <c r="G30" s="698">
        <v>-13.1</v>
      </c>
      <c r="H30" s="12" t="s">
        <v>889</v>
      </c>
      <c r="I30" s="12" t="s">
        <v>893</v>
      </c>
      <c r="J30" s="12" t="s">
        <v>894</v>
      </c>
      <c r="K30" s="12" t="s">
        <v>969</v>
      </c>
      <c r="L30" s="12"/>
      <c r="M30" s="18" t="s">
        <v>976</v>
      </c>
      <c r="N30" s="11"/>
      <c r="O30" s="11"/>
      <c r="P30" s="20" t="s">
        <v>977</v>
      </c>
    </row>
    <row r="31" spans="1:25" x14ac:dyDescent="0.25">
      <c r="A31" s="694">
        <v>41980</v>
      </c>
      <c r="B31" s="558">
        <v>1000</v>
      </c>
      <c r="C31" s="693">
        <v>100</v>
      </c>
      <c r="D31" s="558">
        <v>1000</v>
      </c>
      <c r="F31" s="11" t="s">
        <v>1258</v>
      </c>
      <c r="G31" s="698">
        <v>-3309.71</v>
      </c>
      <c r="H31" s="12" t="s">
        <v>889</v>
      </c>
      <c r="I31" s="12" t="s">
        <v>893</v>
      </c>
      <c r="J31" s="12" t="s">
        <v>894</v>
      </c>
      <c r="K31" s="12" t="s">
        <v>969</v>
      </c>
      <c r="L31" s="12"/>
      <c r="M31" s="18" t="s">
        <v>978</v>
      </c>
      <c r="N31" s="11"/>
      <c r="O31" s="11"/>
      <c r="P31" s="20" t="s">
        <v>979</v>
      </c>
    </row>
    <row r="32" spans="1:25" x14ac:dyDescent="0.25">
      <c r="A32" s="695">
        <v>41990</v>
      </c>
      <c r="B32" s="558">
        <v>1000</v>
      </c>
      <c r="C32" s="693">
        <v>0</v>
      </c>
      <c r="D32" s="558">
        <v>0</v>
      </c>
      <c r="F32" s="11" t="s">
        <v>365</v>
      </c>
      <c r="G32" s="698">
        <v>-360.15</v>
      </c>
      <c r="H32" s="12" t="s">
        <v>889</v>
      </c>
      <c r="I32" s="12" t="s">
        <v>21</v>
      </c>
      <c r="J32" s="12" t="s">
        <v>21</v>
      </c>
      <c r="K32" s="12" t="s">
        <v>969</v>
      </c>
      <c r="L32" s="12"/>
      <c r="M32" s="18" t="s">
        <v>980</v>
      </c>
      <c r="N32" s="11"/>
      <c r="O32" s="11"/>
      <c r="P32" s="20" t="s">
        <v>981</v>
      </c>
    </row>
    <row r="33" spans="1:16" x14ac:dyDescent="0.25">
      <c r="A33" s="694">
        <v>41990</v>
      </c>
      <c r="B33" s="558">
        <v>1000</v>
      </c>
      <c r="C33" s="693">
        <v>100</v>
      </c>
      <c r="D33" s="558">
        <v>1000</v>
      </c>
      <c r="F33" s="11" t="s">
        <v>365</v>
      </c>
      <c r="G33" s="698">
        <v>-18282.669999999998</v>
      </c>
      <c r="H33" s="12" t="s">
        <v>889</v>
      </c>
      <c r="I33" s="12" t="s">
        <v>893</v>
      </c>
      <c r="J33" s="12" t="s">
        <v>894</v>
      </c>
      <c r="K33" s="12" t="s">
        <v>969</v>
      </c>
      <c r="L33" s="12"/>
      <c r="M33" s="18" t="s">
        <v>982</v>
      </c>
      <c r="N33" s="11"/>
      <c r="O33" s="11"/>
      <c r="P33" s="20" t="s">
        <v>983</v>
      </c>
    </row>
    <row r="34" spans="1:16" x14ac:dyDescent="0.25">
      <c r="A34" s="695">
        <v>43110</v>
      </c>
      <c r="B34" s="558">
        <v>1000</v>
      </c>
      <c r="C34" s="693">
        <v>100</v>
      </c>
      <c r="D34" s="558">
        <v>0</v>
      </c>
      <c r="F34" s="11" t="s">
        <v>1259</v>
      </c>
      <c r="G34" s="698">
        <v>-2775831.53</v>
      </c>
      <c r="H34" s="12" t="s">
        <v>889</v>
      </c>
      <c r="I34" s="12" t="s">
        <v>893</v>
      </c>
      <c r="J34" s="12" t="s">
        <v>21</v>
      </c>
      <c r="K34" s="12" t="s">
        <v>979</v>
      </c>
      <c r="L34" s="12"/>
      <c r="M34" s="18" t="s">
        <v>984</v>
      </c>
      <c r="N34" s="11"/>
      <c r="O34" s="11"/>
      <c r="P34" s="20" t="s">
        <v>985</v>
      </c>
    </row>
    <row r="35" spans="1:16" x14ac:dyDescent="0.25">
      <c r="A35" s="695">
        <v>43110</v>
      </c>
      <c r="B35" s="558">
        <v>1000</v>
      </c>
      <c r="C35" s="693">
        <v>100</v>
      </c>
      <c r="D35" s="558">
        <v>1000</v>
      </c>
      <c r="F35" s="11" t="s">
        <v>1259</v>
      </c>
      <c r="G35" s="698">
        <v>-882324.16</v>
      </c>
      <c r="H35" s="12" t="s">
        <v>889</v>
      </c>
      <c r="I35" s="12" t="s">
        <v>893</v>
      </c>
      <c r="J35" s="12" t="s">
        <v>894</v>
      </c>
      <c r="K35" s="12" t="s">
        <v>979</v>
      </c>
      <c r="L35" s="12"/>
      <c r="M35" s="18" t="s">
        <v>986</v>
      </c>
      <c r="N35" s="11"/>
      <c r="O35" s="11"/>
      <c r="P35" s="20" t="s">
        <v>987</v>
      </c>
    </row>
    <row r="36" spans="1:16" x14ac:dyDescent="0.25">
      <c r="A36" s="695">
        <v>43110</v>
      </c>
      <c r="B36" s="558">
        <v>1731</v>
      </c>
      <c r="C36" s="693">
        <v>100</v>
      </c>
      <c r="D36" s="558">
        <v>1000</v>
      </c>
      <c r="F36" s="11" t="s">
        <v>1259</v>
      </c>
      <c r="G36" s="698">
        <v>-29.63</v>
      </c>
      <c r="H36" s="12" t="s">
        <v>997</v>
      </c>
      <c r="I36" s="12" t="s">
        <v>893</v>
      </c>
      <c r="J36" s="12" t="s">
        <v>894</v>
      </c>
      <c r="K36" s="12" t="s">
        <v>979</v>
      </c>
      <c r="L36" s="12"/>
      <c r="M36" s="18" t="s">
        <v>989</v>
      </c>
      <c r="N36" s="11"/>
      <c r="O36" s="11"/>
      <c r="P36" s="20" t="s">
        <v>988</v>
      </c>
    </row>
    <row r="37" spans="1:16" x14ac:dyDescent="0.25">
      <c r="A37" s="695">
        <v>43110</v>
      </c>
      <c r="B37" s="558">
        <v>1732</v>
      </c>
      <c r="C37" s="693">
        <v>100</v>
      </c>
      <c r="D37" s="558">
        <v>1000</v>
      </c>
      <c r="F37" s="11" t="s">
        <v>1259</v>
      </c>
      <c r="G37" s="698">
        <v>-495</v>
      </c>
      <c r="H37" s="12" t="s">
        <v>997</v>
      </c>
      <c r="I37" s="12" t="s">
        <v>893</v>
      </c>
      <c r="J37" s="12" t="s">
        <v>894</v>
      </c>
      <c r="K37" s="12" t="s">
        <v>979</v>
      </c>
      <c r="L37" s="12"/>
      <c r="M37" s="18" t="s">
        <v>991</v>
      </c>
      <c r="N37" s="11"/>
      <c r="O37" s="11"/>
      <c r="P37" s="20" t="s">
        <v>990</v>
      </c>
    </row>
    <row r="38" spans="1:16" x14ac:dyDescent="0.25">
      <c r="A38" s="695">
        <v>43110</v>
      </c>
      <c r="B38" s="558">
        <v>1734</v>
      </c>
      <c r="C38" s="693">
        <v>100</v>
      </c>
      <c r="D38" s="558">
        <v>1000</v>
      </c>
      <c r="F38" s="11" t="s">
        <v>1259</v>
      </c>
      <c r="G38" s="698">
        <v>-232</v>
      </c>
      <c r="H38" s="12" t="s">
        <v>997</v>
      </c>
      <c r="I38" s="12" t="s">
        <v>893</v>
      </c>
      <c r="J38" s="12" t="s">
        <v>894</v>
      </c>
      <c r="K38" s="12" t="s">
        <v>979</v>
      </c>
      <c r="L38" s="12"/>
      <c r="M38" s="18" t="s">
        <v>993</v>
      </c>
      <c r="N38" s="11"/>
      <c r="O38" s="11"/>
      <c r="P38" s="20" t="s">
        <v>992</v>
      </c>
    </row>
    <row r="39" spans="1:16" x14ac:dyDescent="0.25">
      <c r="A39" s="695">
        <v>43110</v>
      </c>
      <c r="B39" s="558">
        <v>1737</v>
      </c>
      <c r="C39" s="693">
        <v>100</v>
      </c>
      <c r="D39" s="558">
        <v>1000</v>
      </c>
      <c r="F39" s="11" t="s">
        <v>1259</v>
      </c>
      <c r="G39" s="698">
        <v>-322.5</v>
      </c>
      <c r="H39" s="12" t="s">
        <v>997</v>
      </c>
      <c r="I39" s="12" t="s">
        <v>893</v>
      </c>
      <c r="J39" s="12" t="s">
        <v>894</v>
      </c>
      <c r="K39" s="12" t="s">
        <v>979</v>
      </c>
      <c r="L39" s="12"/>
      <c r="M39" s="18" t="s">
        <v>995</v>
      </c>
      <c r="N39" s="11"/>
      <c r="O39" s="11"/>
      <c r="P39" s="20" t="s">
        <v>994</v>
      </c>
    </row>
    <row r="40" spans="1:16" x14ac:dyDescent="0.25">
      <c r="A40" s="695">
        <v>43110</v>
      </c>
      <c r="B40" s="558">
        <v>1739</v>
      </c>
      <c r="C40" s="693">
        <v>100</v>
      </c>
      <c r="D40" s="558">
        <v>1000</v>
      </c>
      <c r="F40" s="11" t="s">
        <v>1259</v>
      </c>
      <c r="G40" s="698">
        <v>-1028.5</v>
      </c>
      <c r="H40" s="12" t="s">
        <v>997</v>
      </c>
      <c r="I40" s="12" t="s">
        <v>893</v>
      </c>
      <c r="J40" s="12" t="s">
        <v>894</v>
      </c>
      <c r="K40" s="12" t="s">
        <v>979</v>
      </c>
      <c r="L40" s="12"/>
      <c r="M40" s="18" t="s">
        <v>997</v>
      </c>
      <c r="N40" s="11"/>
      <c r="O40" s="11"/>
      <c r="P40" s="20" t="s">
        <v>996</v>
      </c>
    </row>
    <row r="41" spans="1:16" x14ac:dyDescent="0.25">
      <c r="A41" s="695">
        <v>43110</v>
      </c>
      <c r="B41" s="558">
        <v>1745</v>
      </c>
      <c r="C41" s="693">
        <v>100</v>
      </c>
      <c r="D41" s="558">
        <v>1000</v>
      </c>
      <c r="F41" s="11" t="s">
        <v>1259</v>
      </c>
      <c r="G41" s="698">
        <v>-182.97</v>
      </c>
      <c r="H41" s="12" t="s">
        <v>997</v>
      </c>
      <c r="I41" s="12" t="s">
        <v>893</v>
      </c>
      <c r="J41" s="12" t="s">
        <v>894</v>
      </c>
      <c r="K41" s="12" t="s">
        <v>979</v>
      </c>
      <c r="L41" s="12"/>
      <c r="M41" s="18" t="s">
        <v>999</v>
      </c>
      <c r="N41" s="11"/>
      <c r="O41" s="11"/>
      <c r="P41" s="20" t="s">
        <v>998</v>
      </c>
    </row>
    <row r="42" spans="1:16" x14ac:dyDescent="0.25">
      <c r="A42" s="695">
        <v>43110</v>
      </c>
      <c r="B42" s="558">
        <v>1751</v>
      </c>
      <c r="C42" s="693">
        <v>100</v>
      </c>
      <c r="D42" s="558">
        <v>1000</v>
      </c>
      <c r="F42" s="11" t="s">
        <v>1259</v>
      </c>
      <c r="G42" s="698">
        <v>-564.20000000000005</v>
      </c>
      <c r="H42" s="12" t="s">
        <v>997</v>
      </c>
      <c r="I42" s="12" t="s">
        <v>893</v>
      </c>
      <c r="J42" s="12" t="s">
        <v>894</v>
      </c>
      <c r="K42" s="12" t="s">
        <v>979</v>
      </c>
      <c r="L42" s="12"/>
      <c r="N42" s="11"/>
      <c r="O42" s="11"/>
    </row>
    <row r="43" spans="1:16" x14ac:dyDescent="0.25">
      <c r="A43" s="695">
        <v>43110</v>
      </c>
      <c r="B43" s="558">
        <v>1752</v>
      </c>
      <c r="C43" s="693">
        <v>100</v>
      </c>
      <c r="D43" s="558">
        <v>1000</v>
      </c>
      <c r="F43" s="11" t="s">
        <v>1259</v>
      </c>
      <c r="G43" s="698">
        <v>-2875.28</v>
      </c>
      <c r="H43" s="12" t="s">
        <v>997</v>
      </c>
      <c r="I43" s="12" t="s">
        <v>893</v>
      </c>
      <c r="J43" s="12" t="s">
        <v>894</v>
      </c>
      <c r="K43" s="12" t="s">
        <v>979</v>
      </c>
      <c r="L43" s="12"/>
      <c r="M43" s="11"/>
      <c r="N43" s="11"/>
      <c r="O43" s="11"/>
    </row>
    <row r="44" spans="1:16" x14ac:dyDescent="0.25">
      <c r="A44" s="694">
        <v>43110</v>
      </c>
      <c r="B44" s="558">
        <v>1824</v>
      </c>
      <c r="C44" s="693">
        <v>100</v>
      </c>
      <c r="D44" s="558">
        <v>1000</v>
      </c>
      <c r="F44" s="11" t="s">
        <v>1259</v>
      </c>
      <c r="G44" s="698">
        <v>-120</v>
      </c>
      <c r="H44" s="12" t="s">
        <v>997</v>
      </c>
      <c r="I44" s="12" t="s">
        <v>893</v>
      </c>
      <c r="J44" s="12" t="s">
        <v>894</v>
      </c>
      <c r="K44" s="12" t="s">
        <v>979</v>
      </c>
      <c r="L44" s="12"/>
      <c r="M44" s="11"/>
      <c r="N44" s="11"/>
      <c r="O44" s="11"/>
    </row>
    <row r="45" spans="1:16" x14ac:dyDescent="0.25">
      <c r="A45" s="694">
        <v>43111</v>
      </c>
      <c r="B45" s="558">
        <v>1000</v>
      </c>
      <c r="C45" s="693">
        <v>0</v>
      </c>
      <c r="D45" s="558">
        <v>0</v>
      </c>
      <c r="F45" s="11" t="s">
        <v>1260</v>
      </c>
      <c r="G45" s="698">
        <v>-27304.77</v>
      </c>
      <c r="H45" s="12" t="s">
        <v>889</v>
      </c>
      <c r="I45" s="12" t="s">
        <v>21</v>
      </c>
      <c r="J45" s="12" t="s">
        <v>21</v>
      </c>
      <c r="K45" s="12" t="s">
        <v>979</v>
      </c>
      <c r="L45" s="12"/>
      <c r="M45" s="11"/>
      <c r="N45" s="11"/>
      <c r="O45" s="11"/>
      <c r="P45" s="11"/>
    </row>
    <row r="46" spans="1:16" x14ac:dyDescent="0.25">
      <c r="A46" s="695">
        <v>43201</v>
      </c>
      <c r="B46" s="558">
        <v>1012</v>
      </c>
      <c r="C46" s="693">
        <v>0</v>
      </c>
      <c r="D46" s="558">
        <v>0</v>
      </c>
      <c r="F46" s="11" t="s">
        <v>1261</v>
      </c>
      <c r="G46" s="698">
        <v>-275522.40000000002</v>
      </c>
      <c r="H46" s="12" t="s">
        <v>890</v>
      </c>
      <c r="I46" s="12" t="s">
        <v>21</v>
      </c>
      <c r="J46" s="12" t="s">
        <v>21</v>
      </c>
      <c r="K46" s="12" t="s">
        <v>983</v>
      </c>
      <c r="L46" s="12"/>
      <c r="M46" s="11"/>
      <c r="N46" s="11"/>
      <c r="O46" s="11"/>
      <c r="P46" s="11"/>
    </row>
    <row r="47" spans="1:16" x14ac:dyDescent="0.25">
      <c r="A47" s="694">
        <v>43201</v>
      </c>
      <c r="B47" s="558">
        <v>1012</v>
      </c>
      <c r="C47" s="693">
        <v>100</v>
      </c>
      <c r="D47" s="558">
        <v>1000</v>
      </c>
      <c r="F47" s="11" t="s">
        <v>1261</v>
      </c>
      <c r="G47" s="698">
        <v>-91720.8</v>
      </c>
      <c r="H47" s="12" t="s">
        <v>890</v>
      </c>
      <c r="I47" s="12" t="s">
        <v>893</v>
      </c>
      <c r="J47" s="12" t="s">
        <v>894</v>
      </c>
      <c r="K47" s="12" t="s">
        <v>983</v>
      </c>
      <c r="L47" s="12"/>
      <c r="M47" s="11"/>
      <c r="N47" s="11"/>
      <c r="O47" s="11"/>
      <c r="P47" s="11"/>
    </row>
    <row r="48" spans="1:16" x14ac:dyDescent="0.25">
      <c r="A48" s="695">
        <v>43202</v>
      </c>
      <c r="B48" s="558">
        <v>1020</v>
      </c>
      <c r="C48" s="693">
        <v>0</v>
      </c>
      <c r="D48" s="558">
        <v>0</v>
      </c>
      <c r="F48" s="11" t="s">
        <v>506</v>
      </c>
      <c r="G48" s="698">
        <v>-16423.78</v>
      </c>
      <c r="H48" s="12" t="s">
        <v>892</v>
      </c>
      <c r="I48" s="12" t="s">
        <v>21</v>
      </c>
      <c r="J48" s="12" t="s">
        <v>21</v>
      </c>
      <c r="K48" s="12" t="s">
        <v>983</v>
      </c>
      <c r="L48" s="12"/>
      <c r="M48" s="11"/>
      <c r="N48" s="11"/>
      <c r="O48" s="11"/>
      <c r="P48" s="11"/>
    </row>
    <row r="49" spans="1:16" x14ac:dyDescent="0.25">
      <c r="A49" s="694">
        <v>43202</v>
      </c>
      <c r="B49" s="558">
        <v>1020</v>
      </c>
      <c r="C49" s="693">
        <v>100</v>
      </c>
      <c r="D49" s="558">
        <v>1000</v>
      </c>
      <c r="F49" s="11" t="s">
        <v>506</v>
      </c>
      <c r="G49" s="698">
        <v>-14055.89</v>
      </c>
      <c r="H49" s="12" t="s">
        <v>892</v>
      </c>
      <c r="I49" s="12" t="s">
        <v>893</v>
      </c>
      <c r="J49" s="12" t="s">
        <v>894</v>
      </c>
      <c r="K49" s="12" t="s">
        <v>983</v>
      </c>
      <c r="L49" s="12"/>
      <c r="M49" s="11"/>
      <c r="N49" s="11"/>
      <c r="O49" s="11"/>
      <c r="P49" s="11"/>
    </row>
    <row r="50" spans="1:16" x14ac:dyDescent="0.25">
      <c r="A50" s="694">
        <v>43210</v>
      </c>
      <c r="B50" s="558">
        <v>1488</v>
      </c>
      <c r="C50" s="693">
        <v>100</v>
      </c>
      <c r="D50" s="558">
        <v>1000</v>
      </c>
      <c r="F50" s="11" t="s">
        <v>1262</v>
      </c>
      <c r="G50" s="698">
        <v>-35302.5</v>
      </c>
      <c r="H50" s="12" t="s">
        <v>995</v>
      </c>
      <c r="I50" s="12" t="s">
        <v>893</v>
      </c>
      <c r="J50" s="12" t="s">
        <v>894</v>
      </c>
      <c r="K50" s="12" t="s">
        <v>983</v>
      </c>
      <c r="L50" s="12"/>
      <c r="M50" s="11"/>
      <c r="N50" s="11"/>
      <c r="O50" s="11"/>
      <c r="P50" s="11"/>
    </row>
    <row r="51" spans="1:16" x14ac:dyDescent="0.25">
      <c r="A51" s="695">
        <v>44501</v>
      </c>
      <c r="B51" s="558" t="s">
        <v>1244</v>
      </c>
      <c r="C51" s="693">
        <v>0</v>
      </c>
      <c r="D51" s="558">
        <v>0</v>
      </c>
      <c r="F51" s="11" t="s">
        <v>1263</v>
      </c>
      <c r="G51" s="698">
        <v>-185.25</v>
      </c>
      <c r="H51" s="12" t="s">
        <v>904</v>
      </c>
      <c r="I51" s="12" t="s">
        <v>21</v>
      </c>
      <c r="J51" s="12" t="s">
        <v>21</v>
      </c>
      <c r="K51" s="12" t="s">
        <v>990</v>
      </c>
      <c r="L51" s="12"/>
      <c r="M51" s="11"/>
      <c r="N51" s="11"/>
      <c r="O51" s="11"/>
      <c r="P51" s="11"/>
    </row>
    <row r="52" spans="1:16" x14ac:dyDescent="0.25">
      <c r="A52" s="695">
        <v>44501</v>
      </c>
      <c r="B52" s="558" t="s">
        <v>1245</v>
      </c>
      <c r="C52" s="693">
        <v>100</v>
      </c>
      <c r="D52" s="558">
        <v>0</v>
      </c>
      <c r="F52" s="11" t="s">
        <v>1263</v>
      </c>
      <c r="G52" s="698">
        <v>-124215.35</v>
      </c>
      <c r="H52" s="12" t="s">
        <v>904</v>
      </c>
      <c r="I52" s="12" t="s">
        <v>893</v>
      </c>
      <c r="J52" s="12" t="s">
        <v>21</v>
      </c>
      <c r="K52" s="12" t="s">
        <v>990</v>
      </c>
      <c r="L52" s="12"/>
      <c r="M52" s="11"/>
      <c r="N52" s="11"/>
      <c r="O52" s="11"/>
      <c r="P52" s="11"/>
    </row>
    <row r="53" spans="1:16" x14ac:dyDescent="0.25">
      <c r="A53" s="694">
        <v>44501</v>
      </c>
      <c r="B53" s="558" t="s">
        <v>1245</v>
      </c>
      <c r="C53" s="693">
        <v>100</v>
      </c>
      <c r="D53" s="558">
        <v>1000</v>
      </c>
      <c r="F53" s="11" t="s">
        <v>1263</v>
      </c>
      <c r="G53" s="698">
        <v>-76123.710000000006</v>
      </c>
      <c r="H53" s="12" t="s">
        <v>904</v>
      </c>
      <c r="I53" s="12" t="s">
        <v>893</v>
      </c>
      <c r="J53" s="12" t="s">
        <v>894</v>
      </c>
      <c r="K53" s="12" t="s">
        <v>990</v>
      </c>
      <c r="L53" s="12"/>
      <c r="M53" s="11"/>
      <c r="N53" s="11"/>
      <c r="O53" s="11"/>
      <c r="P53" s="11"/>
    </row>
    <row r="54" spans="1:16" x14ac:dyDescent="0.25">
      <c r="A54" s="694">
        <v>44511</v>
      </c>
      <c r="B54" s="558">
        <v>1190</v>
      </c>
      <c r="C54" s="693">
        <v>100</v>
      </c>
      <c r="D54" s="558">
        <v>1000</v>
      </c>
      <c r="F54" s="11" t="s">
        <v>1264</v>
      </c>
      <c r="G54" s="698">
        <v>-5921.03</v>
      </c>
      <c r="H54" s="12" t="s">
        <v>920</v>
      </c>
      <c r="I54" s="12" t="s">
        <v>893</v>
      </c>
      <c r="J54" s="12" t="s">
        <v>894</v>
      </c>
      <c r="K54" s="12" t="s">
        <v>990</v>
      </c>
      <c r="L54" s="12"/>
      <c r="M54" s="11"/>
      <c r="N54" s="11"/>
      <c r="O54" s="11"/>
      <c r="P54" s="11"/>
    </row>
    <row r="55" spans="1:16" x14ac:dyDescent="0.25">
      <c r="A55" s="695">
        <v>44526</v>
      </c>
      <c r="B55" s="558">
        <v>1220</v>
      </c>
      <c r="C55" s="693">
        <v>200</v>
      </c>
      <c r="D55" s="558">
        <v>0</v>
      </c>
      <c r="F55" s="11" t="s">
        <v>1265</v>
      </c>
      <c r="G55" s="698">
        <v>-54894.75</v>
      </c>
      <c r="H55" s="12" t="s">
        <v>932</v>
      </c>
      <c r="I55" s="12" t="s">
        <v>897</v>
      </c>
      <c r="J55" s="12" t="s">
        <v>21</v>
      </c>
      <c r="K55" s="12" t="s">
        <v>990</v>
      </c>
      <c r="L55" s="12"/>
      <c r="M55" s="11"/>
      <c r="N55" s="11"/>
      <c r="O55" s="11"/>
      <c r="P55" s="11"/>
    </row>
    <row r="56" spans="1:16" x14ac:dyDescent="0.25">
      <c r="A56" s="695">
        <v>44526</v>
      </c>
      <c r="B56" s="558">
        <v>1220</v>
      </c>
      <c r="C56" s="693">
        <v>200</v>
      </c>
      <c r="D56" s="558">
        <v>1000</v>
      </c>
      <c r="F56" s="11" t="s">
        <v>1265</v>
      </c>
      <c r="G56" s="698">
        <v>-11906.33</v>
      </c>
      <c r="H56" s="12" t="s">
        <v>932</v>
      </c>
      <c r="I56" s="12" t="s">
        <v>897</v>
      </c>
      <c r="J56" s="12" t="s">
        <v>894</v>
      </c>
      <c r="K56" s="12" t="s">
        <v>990</v>
      </c>
      <c r="L56" s="12"/>
      <c r="M56" s="11"/>
      <c r="N56" s="11"/>
      <c r="O56" s="11"/>
      <c r="P56" s="11"/>
    </row>
    <row r="57" spans="1:16" x14ac:dyDescent="0.25">
      <c r="A57" s="694">
        <v>44526</v>
      </c>
      <c r="B57" s="558">
        <v>1229</v>
      </c>
      <c r="C57" s="693">
        <v>100</v>
      </c>
      <c r="D57" s="558">
        <v>0</v>
      </c>
      <c r="F57" s="11" t="s">
        <v>1265</v>
      </c>
      <c r="G57" s="698">
        <v>-43380</v>
      </c>
      <c r="H57" s="12" t="s">
        <v>940</v>
      </c>
      <c r="I57" s="12" t="s">
        <v>893</v>
      </c>
      <c r="J57" s="12" t="s">
        <v>21</v>
      </c>
      <c r="K57" s="12" t="s">
        <v>990</v>
      </c>
      <c r="L57" s="12"/>
      <c r="M57" s="11"/>
      <c r="N57" s="11"/>
      <c r="O57" s="11"/>
      <c r="P57" s="11"/>
    </row>
    <row r="58" spans="1:16" x14ac:dyDescent="0.25">
      <c r="A58" s="694">
        <v>44535</v>
      </c>
      <c r="B58" s="558">
        <v>1327</v>
      </c>
      <c r="C58" s="693">
        <v>100</v>
      </c>
      <c r="D58" s="558">
        <v>1000</v>
      </c>
      <c r="F58" s="11" t="s">
        <v>1266</v>
      </c>
      <c r="G58" s="698">
        <v>-138.51</v>
      </c>
      <c r="H58" s="12" t="s">
        <v>968</v>
      </c>
      <c r="I58" s="12" t="s">
        <v>893</v>
      </c>
      <c r="J58" s="12" t="s">
        <v>894</v>
      </c>
      <c r="K58" s="12" t="s">
        <v>990</v>
      </c>
      <c r="L58" s="12"/>
      <c r="M58" s="11"/>
      <c r="N58" s="11"/>
      <c r="O58" s="11"/>
      <c r="P58" s="11"/>
    </row>
    <row r="59" spans="1:16" x14ac:dyDescent="0.25">
      <c r="A59" s="695">
        <v>44536</v>
      </c>
      <c r="B59" s="558">
        <v>1319</v>
      </c>
      <c r="C59" s="693">
        <v>100</v>
      </c>
      <c r="D59" s="558">
        <v>0</v>
      </c>
      <c r="F59" s="11" t="s">
        <v>1267</v>
      </c>
      <c r="G59" s="698">
        <v>-67583.58</v>
      </c>
      <c r="H59" s="12" t="s">
        <v>968</v>
      </c>
      <c r="I59" s="12" t="s">
        <v>893</v>
      </c>
      <c r="J59" s="12" t="s">
        <v>21</v>
      </c>
      <c r="K59" s="12" t="s">
        <v>990</v>
      </c>
      <c r="L59" s="12"/>
      <c r="M59" s="11"/>
      <c r="N59" s="11"/>
      <c r="O59" s="11"/>
      <c r="P59" s="11"/>
    </row>
    <row r="60" spans="1:16" x14ac:dyDescent="0.25">
      <c r="A60" s="695">
        <v>44536</v>
      </c>
      <c r="B60" s="558">
        <v>1321</v>
      </c>
      <c r="C60" s="693">
        <v>100</v>
      </c>
      <c r="D60" s="558">
        <v>0</v>
      </c>
      <c r="F60" s="11" t="s">
        <v>1267</v>
      </c>
      <c r="G60" s="698">
        <v>-361528.03</v>
      </c>
      <c r="H60" s="12" t="s">
        <v>968</v>
      </c>
      <c r="I60" s="12" t="s">
        <v>893</v>
      </c>
      <c r="J60" s="12" t="s">
        <v>21</v>
      </c>
      <c r="K60" s="12" t="s">
        <v>990</v>
      </c>
      <c r="L60" s="12"/>
      <c r="M60" s="11"/>
      <c r="N60" s="11"/>
      <c r="O60" s="11"/>
      <c r="P60" s="11"/>
    </row>
    <row r="61" spans="1:16" x14ac:dyDescent="0.25">
      <c r="A61" s="694">
        <v>44536</v>
      </c>
      <c r="B61" s="558">
        <v>1321</v>
      </c>
      <c r="C61" s="693">
        <v>100</v>
      </c>
      <c r="D61" s="558">
        <v>1000</v>
      </c>
      <c r="F61" s="11" t="s">
        <v>1267</v>
      </c>
      <c r="G61" s="698">
        <v>-138250.57999999999</v>
      </c>
      <c r="H61" s="12" t="s">
        <v>968</v>
      </c>
      <c r="I61" s="12" t="s">
        <v>893</v>
      </c>
      <c r="J61" s="12" t="s">
        <v>894</v>
      </c>
      <c r="K61" s="12" t="s">
        <v>990</v>
      </c>
      <c r="L61" s="12"/>
      <c r="M61" s="11"/>
      <c r="N61" s="11"/>
      <c r="O61" s="11"/>
      <c r="P61" s="11"/>
    </row>
    <row r="62" spans="1:16" x14ac:dyDescent="0.25">
      <c r="A62" s="694">
        <v>44540</v>
      </c>
      <c r="B62" s="558">
        <v>1329</v>
      </c>
      <c r="C62" s="693">
        <v>100</v>
      </c>
      <c r="D62" s="558">
        <v>1000</v>
      </c>
      <c r="F62" s="11" t="s">
        <v>1268</v>
      </c>
      <c r="G62" s="698">
        <v>-5000</v>
      </c>
      <c r="H62" s="12" t="s">
        <v>968</v>
      </c>
      <c r="I62" s="12" t="s">
        <v>893</v>
      </c>
      <c r="J62" s="12" t="s">
        <v>894</v>
      </c>
      <c r="K62" s="12" t="s">
        <v>990</v>
      </c>
      <c r="L62" s="12"/>
      <c r="M62" s="11"/>
      <c r="N62" s="11"/>
      <c r="O62" s="11"/>
      <c r="P62" s="11"/>
    </row>
    <row r="63" spans="1:16" x14ac:dyDescent="0.25">
      <c r="A63" s="695">
        <v>44541</v>
      </c>
      <c r="B63" s="558" t="s">
        <v>1246</v>
      </c>
      <c r="C63" s="693">
        <v>0</v>
      </c>
      <c r="D63" s="558">
        <v>0</v>
      </c>
      <c r="F63" s="11" t="s">
        <v>1269</v>
      </c>
      <c r="G63" s="698">
        <v>-89195.7</v>
      </c>
      <c r="H63" s="12" t="s">
        <v>997</v>
      </c>
      <c r="I63" s="12" t="s">
        <v>21</v>
      </c>
      <c r="J63" s="12" t="s">
        <v>21</v>
      </c>
      <c r="K63" s="12" t="s">
        <v>990</v>
      </c>
      <c r="L63" s="12"/>
      <c r="M63" s="11"/>
      <c r="N63" s="11"/>
      <c r="O63" s="11"/>
      <c r="P63" s="11"/>
    </row>
    <row r="64" spans="1:16" x14ac:dyDescent="0.25">
      <c r="A64" s="694">
        <v>44541</v>
      </c>
      <c r="B64" s="558" t="s">
        <v>1246</v>
      </c>
      <c r="C64" s="693">
        <v>100</v>
      </c>
      <c r="D64" s="558">
        <v>1000</v>
      </c>
      <c r="F64" s="11" t="s">
        <v>1269</v>
      </c>
      <c r="G64" s="698">
        <v>-27867.42</v>
      </c>
      <c r="H64" s="12" t="s">
        <v>997</v>
      </c>
      <c r="I64" s="12" t="s">
        <v>893</v>
      </c>
      <c r="J64" s="12" t="s">
        <v>894</v>
      </c>
      <c r="K64" s="12" t="s">
        <v>990</v>
      </c>
      <c r="L64" s="12"/>
      <c r="M64" s="11"/>
      <c r="N64" s="11"/>
      <c r="O64" s="11"/>
      <c r="P64" s="11"/>
    </row>
    <row r="65" spans="1:16" x14ac:dyDescent="0.25">
      <c r="A65" s="695">
        <v>44542</v>
      </c>
      <c r="B65" s="558" t="s">
        <v>1247</v>
      </c>
      <c r="C65" s="693">
        <v>0</v>
      </c>
      <c r="D65" s="558">
        <v>0</v>
      </c>
      <c r="F65" s="11" t="s">
        <v>1270</v>
      </c>
      <c r="G65" s="698">
        <v>-10476.25</v>
      </c>
      <c r="H65" s="12" t="s">
        <v>997</v>
      </c>
      <c r="I65" s="12" t="s">
        <v>21</v>
      </c>
      <c r="J65" s="12" t="s">
        <v>21</v>
      </c>
      <c r="K65" s="12" t="s">
        <v>990</v>
      </c>
      <c r="L65" s="12"/>
      <c r="M65" s="11"/>
      <c r="N65" s="11"/>
      <c r="O65" s="11"/>
      <c r="P65" s="11"/>
    </row>
    <row r="66" spans="1:16" x14ac:dyDescent="0.25">
      <c r="A66" s="694">
        <v>44542</v>
      </c>
      <c r="B66" s="558" t="s">
        <v>1247</v>
      </c>
      <c r="C66" s="693">
        <v>100</v>
      </c>
      <c r="D66" s="558">
        <v>1000</v>
      </c>
      <c r="F66" s="11" t="s">
        <v>1270</v>
      </c>
      <c r="G66" s="698">
        <v>-3196</v>
      </c>
      <c r="H66" s="12" t="s">
        <v>997</v>
      </c>
      <c r="I66" s="12" t="s">
        <v>893</v>
      </c>
      <c r="J66" s="12" t="s">
        <v>894</v>
      </c>
      <c r="K66" s="12" t="s">
        <v>990</v>
      </c>
      <c r="L66" s="12"/>
      <c r="M66" s="11"/>
      <c r="N66" s="11"/>
      <c r="O66" s="11"/>
      <c r="P66" s="11"/>
    </row>
    <row r="67" spans="1:16" x14ac:dyDescent="0.25">
      <c r="A67" s="695">
        <v>44546</v>
      </c>
      <c r="B67" s="558" t="s">
        <v>1246</v>
      </c>
      <c r="C67" s="693">
        <v>0</v>
      </c>
      <c r="D67" s="558">
        <v>0</v>
      </c>
      <c r="F67" s="11" t="s">
        <v>1271</v>
      </c>
      <c r="G67" s="698">
        <v>-12240.89</v>
      </c>
      <c r="H67" s="12" t="s">
        <v>997</v>
      </c>
      <c r="I67" s="12" t="s">
        <v>21</v>
      </c>
      <c r="J67" s="12" t="s">
        <v>21</v>
      </c>
      <c r="K67" s="12" t="s">
        <v>990</v>
      </c>
      <c r="L67" s="12"/>
      <c r="M67" s="11"/>
      <c r="N67" s="11"/>
      <c r="O67" s="11"/>
      <c r="P67" s="11"/>
    </row>
    <row r="68" spans="1:16" x14ac:dyDescent="0.25">
      <c r="A68" s="694">
        <v>44546</v>
      </c>
      <c r="B68" s="558" t="s">
        <v>1246</v>
      </c>
      <c r="C68" s="693">
        <v>100</v>
      </c>
      <c r="D68" s="558">
        <v>1000</v>
      </c>
      <c r="F68" s="11" t="s">
        <v>1271</v>
      </c>
      <c r="G68" s="698">
        <v>-3072.03</v>
      </c>
      <c r="H68" s="12" t="s">
        <v>997</v>
      </c>
      <c r="I68" s="12" t="s">
        <v>893</v>
      </c>
      <c r="J68" s="12" t="s">
        <v>894</v>
      </c>
      <c r="K68" s="12" t="s">
        <v>990</v>
      </c>
      <c r="L68" s="12"/>
      <c r="M68" s="11"/>
      <c r="N68" s="11"/>
      <c r="O68" s="11"/>
      <c r="P68" s="11"/>
    </row>
    <row r="69" spans="1:16" x14ac:dyDescent="0.25">
      <c r="A69" s="694">
        <v>44901</v>
      </c>
      <c r="B69" s="558">
        <v>1591</v>
      </c>
      <c r="C69" s="693">
        <v>100</v>
      </c>
      <c r="D69" s="558">
        <v>0</v>
      </c>
      <c r="F69" s="11" t="s">
        <v>1272</v>
      </c>
      <c r="G69" s="698">
        <v>-12515.84</v>
      </c>
      <c r="H69" s="12" t="s">
        <v>997</v>
      </c>
      <c r="I69" s="12" t="s">
        <v>893</v>
      </c>
      <c r="J69" s="12" t="s">
        <v>21</v>
      </c>
      <c r="K69" s="12" t="s">
        <v>996</v>
      </c>
      <c r="L69" s="12"/>
      <c r="M69" s="11"/>
      <c r="N69" s="11"/>
      <c r="O69" s="11"/>
      <c r="P69" s="11"/>
    </row>
    <row r="70" spans="1:16" x14ac:dyDescent="0.25">
      <c r="A70" s="695">
        <v>56111</v>
      </c>
      <c r="B70" s="558">
        <v>1000</v>
      </c>
      <c r="C70" s="693">
        <v>100</v>
      </c>
      <c r="D70" s="558">
        <v>1000</v>
      </c>
      <c r="F70" s="11" t="s">
        <v>1273</v>
      </c>
      <c r="G70" s="698">
        <v>49922.35</v>
      </c>
      <c r="H70" s="12" t="s">
        <v>889</v>
      </c>
      <c r="I70" s="12" t="s">
        <v>893</v>
      </c>
      <c r="J70" s="12" t="s">
        <v>894</v>
      </c>
      <c r="K70" s="12" t="s">
        <v>891</v>
      </c>
      <c r="L70" s="12"/>
      <c r="M70" s="11"/>
      <c r="N70" s="11"/>
      <c r="O70" s="11"/>
      <c r="P70" s="11"/>
    </row>
    <row r="71" spans="1:16" x14ac:dyDescent="0.25">
      <c r="A71" s="695">
        <v>56111</v>
      </c>
      <c r="B71" s="558">
        <v>1000</v>
      </c>
      <c r="C71" s="693">
        <v>100</v>
      </c>
      <c r="D71" s="558">
        <v>2100</v>
      </c>
      <c r="F71" s="11" t="s">
        <v>1273</v>
      </c>
      <c r="G71" s="698">
        <v>107169.05</v>
      </c>
      <c r="H71" s="12" t="s">
        <v>889</v>
      </c>
      <c r="I71" s="12" t="s">
        <v>893</v>
      </c>
      <c r="J71" s="12" t="s">
        <v>902</v>
      </c>
      <c r="K71" s="12" t="s">
        <v>891</v>
      </c>
      <c r="L71" s="12"/>
      <c r="M71" s="11"/>
      <c r="N71" s="11"/>
      <c r="O71" s="11"/>
      <c r="P71" s="11"/>
    </row>
    <row r="72" spans="1:16" x14ac:dyDescent="0.25">
      <c r="A72" s="695">
        <v>56111</v>
      </c>
      <c r="B72" s="558">
        <v>1000</v>
      </c>
      <c r="C72" s="693">
        <v>100</v>
      </c>
      <c r="D72" s="558">
        <v>2110</v>
      </c>
      <c r="F72" s="11" t="s">
        <v>1273</v>
      </c>
      <c r="G72" s="698">
        <v>9345.1200000000008</v>
      </c>
      <c r="H72" s="12" t="s">
        <v>889</v>
      </c>
      <c r="I72" s="12" t="s">
        <v>893</v>
      </c>
      <c r="J72" s="12" t="s">
        <v>902</v>
      </c>
      <c r="K72" s="12" t="s">
        <v>891</v>
      </c>
      <c r="L72" s="12"/>
      <c r="M72" s="11"/>
      <c r="N72" s="11"/>
      <c r="O72" s="11"/>
      <c r="P72" s="11"/>
    </row>
    <row r="73" spans="1:16" x14ac:dyDescent="0.25">
      <c r="A73" s="695">
        <v>56111</v>
      </c>
      <c r="B73" s="558">
        <v>1000</v>
      </c>
      <c r="C73" s="693">
        <v>100</v>
      </c>
      <c r="D73" s="558">
        <v>2200</v>
      </c>
      <c r="F73" s="11" t="s">
        <v>1273</v>
      </c>
      <c r="G73" s="698">
        <v>47388.25</v>
      </c>
      <c r="H73" s="12" t="s">
        <v>889</v>
      </c>
      <c r="I73" s="12" t="s">
        <v>893</v>
      </c>
      <c r="J73" s="12" t="s">
        <v>906</v>
      </c>
      <c r="K73" s="12" t="s">
        <v>891</v>
      </c>
      <c r="L73" s="12"/>
      <c r="M73" s="11"/>
      <c r="N73" s="11"/>
      <c r="O73" s="11"/>
      <c r="P73" s="11"/>
    </row>
    <row r="74" spans="1:16" x14ac:dyDescent="0.25">
      <c r="A74" s="695">
        <v>56111</v>
      </c>
      <c r="B74" s="558">
        <v>1000</v>
      </c>
      <c r="C74" s="693">
        <v>100</v>
      </c>
      <c r="D74" s="558">
        <v>2300</v>
      </c>
      <c r="F74" s="11" t="s">
        <v>1273</v>
      </c>
      <c r="G74" s="698">
        <v>9486.34</v>
      </c>
      <c r="H74" s="12" t="s">
        <v>889</v>
      </c>
      <c r="I74" s="12" t="s">
        <v>893</v>
      </c>
      <c r="J74" s="12" t="s">
        <v>918</v>
      </c>
      <c r="K74" s="12" t="s">
        <v>891</v>
      </c>
      <c r="L74" s="12"/>
      <c r="M74" s="11"/>
      <c r="N74" s="11"/>
      <c r="O74" s="11"/>
      <c r="P74" s="11"/>
    </row>
    <row r="75" spans="1:16" x14ac:dyDescent="0.25">
      <c r="A75" s="695">
        <v>56111</v>
      </c>
      <c r="B75" s="558">
        <v>1000</v>
      </c>
      <c r="C75" s="693">
        <v>100</v>
      </c>
      <c r="D75" s="558">
        <v>2310</v>
      </c>
      <c r="F75" s="11" t="s">
        <v>1273</v>
      </c>
      <c r="G75" s="698">
        <v>14494.3</v>
      </c>
      <c r="H75" s="12" t="s">
        <v>889</v>
      </c>
      <c r="I75" s="12" t="s">
        <v>893</v>
      </c>
      <c r="J75" s="12" t="s">
        <v>918</v>
      </c>
      <c r="K75" s="12" t="s">
        <v>891</v>
      </c>
      <c r="L75" s="12"/>
      <c r="M75" s="11"/>
      <c r="N75" s="11"/>
      <c r="O75" s="11"/>
      <c r="P75" s="11"/>
    </row>
    <row r="76" spans="1:16" x14ac:dyDescent="0.25">
      <c r="A76" s="695">
        <v>56111</v>
      </c>
      <c r="B76" s="558">
        <v>1000</v>
      </c>
      <c r="C76" s="693">
        <v>100</v>
      </c>
      <c r="D76" s="558">
        <v>2400</v>
      </c>
      <c r="F76" s="11" t="s">
        <v>1273</v>
      </c>
      <c r="G76" s="698">
        <v>163390.70000000001</v>
      </c>
      <c r="H76" s="12" t="s">
        <v>889</v>
      </c>
      <c r="I76" s="12" t="s">
        <v>893</v>
      </c>
      <c r="J76" s="12" t="s">
        <v>922</v>
      </c>
      <c r="K76" s="12" t="s">
        <v>891</v>
      </c>
      <c r="L76" s="12"/>
      <c r="M76" s="11"/>
      <c r="N76" s="11"/>
      <c r="O76" s="11"/>
      <c r="P76" s="11"/>
    </row>
    <row r="77" spans="1:16" x14ac:dyDescent="0.25">
      <c r="A77" s="695">
        <v>56111</v>
      </c>
      <c r="B77" s="558">
        <v>1000</v>
      </c>
      <c r="C77" s="693">
        <v>100</v>
      </c>
      <c r="D77" s="558">
        <v>2410</v>
      </c>
      <c r="F77" s="11" t="s">
        <v>1273</v>
      </c>
      <c r="G77" s="698">
        <v>27730.66</v>
      </c>
      <c r="H77" s="12" t="s">
        <v>889</v>
      </c>
      <c r="I77" s="12" t="s">
        <v>893</v>
      </c>
      <c r="J77" s="12" t="s">
        <v>922</v>
      </c>
      <c r="K77" s="12" t="s">
        <v>891</v>
      </c>
      <c r="L77" s="12"/>
      <c r="M77" s="11"/>
      <c r="N77" s="11"/>
      <c r="O77" s="11"/>
      <c r="P77" s="11"/>
    </row>
    <row r="78" spans="1:16" x14ac:dyDescent="0.25">
      <c r="A78" s="695">
        <v>56111</v>
      </c>
      <c r="B78" s="558">
        <v>1000</v>
      </c>
      <c r="C78" s="693">
        <v>100</v>
      </c>
      <c r="D78" s="558">
        <v>2500</v>
      </c>
      <c r="F78" s="11" t="s">
        <v>1273</v>
      </c>
      <c r="G78" s="698">
        <v>316498.24</v>
      </c>
      <c r="H78" s="12" t="s">
        <v>889</v>
      </c>
      <c r="I78" s="12" t="s">
        <v>893</v>
      </c>
      <c r="J78" s="12" t="s">
        <v>926</v>
      </c>
      <c r="K78" s="12" t="s">
        <v>891</v>
      </c>
      <c r="L78" s="12"/>
      <c r="M78" s="11"/>
      <c r="N78" s="11"/>
      <c r="O78" s="11"/>
      <c r="P78" s="11"/>
    </row>
    <row r="79" spans="1:16" x14ac:dyDescent="0.25">
      <c r="A79" s="695">
        <v>56111</v>
      </c>
      <c r="B79" s="558">
        <v>1000</v>
      </c>
      <c r="C79" s="693">
        <v>100</v>
      </c>
      <c r="D79" s="558">
        <v>2510</v>
      </c>
      <c r="F79" s="11" t="s">
        <v>1273</v>
      </c>
      <c r="G79" s="698">
        <v>10622.59</v>
      </c>
      <c r="H79" s="12" t="s">
        <v>889</v>
      </c>
      <c r="I79" s="12" t="s">
        <v>893</v>
      </c>
      <c r="J79" s="12" t="s">
        <v>926</v>
      </c>
      <c r="K79" s="12" t="s">
        <v>891</v>
      </c>
      <c r="L79" s="12"/>
      <c r="M79" s="11"/>
      <c r="N79" s="11"/>
      <c r="O79" s="11"/>
      <c r="P79" s="11"/>
    </row>
    <row r="80" spans="1:16" x14ac:dyDescent="0.25">
      <c r="A80" s="695">
        <v>56111</v>
      </c>
      <c r="B80" s="558">
        <v>1000</v>
      </c>
      <c r="C80" s="693">
        <v>100</v>
      </c>
      <c r="D80" s="558">
        <v>2520</v>
      </c>
      <c r="F80" s="11" t="s">
        <v>1273</v>
      </c>
      <c r="G80" s="698">
        <v>7806.52</v>
      </c>
      <c r="H80" s="12" t="s">
        <v>889</v>
      </c>
      <c r="I80" s="12" t="s">
        <v>893</v>
      </c>
      <c r="J80" s="12" t="s">
        <v>926</v>
      </c>
      <c r="K80" s="12" t="s">
        <v>891</v>
      </c>
      <c r="L80" s="12"/>
      <c r="M80" s="11"/>
      <c r="N80" s="11"/>
      <c r="O80" s="11"/>
      <c r="P80" s="11"/>
    </row>
    <row r="81" spans="1:16" x14ac:dyDescent="0.25">
      <c r="A81" s="695">
        <v>56111</v>
      </c>
      <c r="B81" s="558">
        <v>1000</v>
      </c>
      <c r="C81" s="693">
        <v>100</v>
      </c>
      <c r="D81" s="558">
        <v>2600</v>
      </c>
      <c r="F81" s="11" t="s">
        <v>1273</v>
      </c>
      <c r="G81" s="698">
        <v>56665.599999999999</v>
      </c>
      <c r="H81" s="12" t="s">
        <v>889</v>
      </c>
      <c r="I81" s="12" t="s">
        <v>893</v>
      </c>
      <c r="J81" s="12" t="s">
        <v>930</v>
      </c>
      <c r="K81" s="12" t="s">
        <v>891</v>
      </c>
      <c r="L81" s="12"/>
      <c r="M81" s="11"/>
      <c r="N81" s="11"/>
      <c r="O81" s="11"/>
      <c r="P81" s="11"/>
    </row>
    <row r="82" spans="1:16" x14ac:dyDescent="0.25">
      <c r="A82" s="695">
        <v>56111</v>
      </c>
      <c r="B82" s="558">
        <v>1000</v>
      </c>
      <c r="C82" s="693">
        <v>100</v>
      </c>
      <c r="D82" s="558">
        <v>2700</v>
      </c>
      <c r="F82" s="11" t="s">
        <v>1273</v>
      </c>
      <c r="G82" s="698">
        <v>8.98</v>
      </c>
      <c r="H82" s="12" t="s">
        <v>889</v>
      </c>
      <c r="I82" s="12" t="s">
        <v>913</v>
      </c>
      <c r="J82" s="12" t="s">
        <v>934</v>
      </c>
      <c r="K82" s="12" t="s">
        <v>891</v>
      </c>
      <c r="L82" s="12"/>
      <c r="M82" s="11"/>
      <c r="N82" s="11"/>
      <c r="O82" s="11"/>
      <c r="P82" s="11"/>
    </row>
    <row r="83" spans="1:16" x14ac:dyDescent="0.25">
      <c r="A83" s="695">
        <v>56111</v>
      </c>
      <c r="B83" s="558">
        <v>1000</v>
      </c>
      <c r="C83" s="693">
        <v>100</v>
      </c>
      <c r="D83" s="558">
        <v>3100</v>
      </c>
      <c r="F83" s="11" t="s">
        <v>1273</v>
      </c>
      <c r="G83" s="698">
        <v>51.01</v>
      </c>
      <c r="H83" s="12" t="s">
        <v>889</v>
      </c>
      <c r="I83" s="12" t="s">
        <v>893</v>
      </c>
      <c r="J83" s="12" t="s">
        <v>942</v>
      </c>
      <c r="K83" s="12" t="s">
        <v>891</v>
      </c>
      <c r="L83" s="12"/>
      <c r="M83" s="11"/>
      <c r="N83" s="11"/>
      <c r="O83" s="11"/>
      <c r="P83" s="11"/>
    </row>
    <row r="84" spans="1:16" x14ac:dyDescent="0.25">
      <c r="A84" s="695">
        <v>56111</v>
      </c>
      <c r="B84" s="558">
        <v>1000</v>
      </c>
      <c r="C84" s="693">
        <v>200</v>
      </c>
      <c r="D84" s="558">
        <v>2100</v>
      </c>
      <c r="F84" s="11" t="s">
        <v>1273</v>
      </c>
      <c r="G84" s="698">
        <v>10324.93</v>
      </c>
      <c r="H84" s="12" t="s">
        <v>889</v>
      </c>
      <c r="I84" s="12" t="s">
        <v>897</v>
      </c>
      <c r="J84" s="12" t="s">
        <v>902</v>
      </c>
      <c r="K84" s="12" t="s">
        <v>891</v>
      </c>
      <c r="L84" s="12"/>
      <c r="M84" s="11"/>
      <c r="N84" s="11"/>
      <c r="O84" s="11"/>
      <c r="P84" s="11"/>
    </row>
    <row r="85" spans="1:16" x14ac:dyDescent="0.25">
      <c r="A85" s="695">
        <v>56111</v>
      </c>
      <c r="B85" s="558">
        <v>1000</v>
      </c>
      <c r="C85" s="693">
        <v>200</v>
      </c>
      <c r="D85" s="558">
        <v>2200</v>
      </c>
      <c r="F85" s="11" t="s">
        <v>1273</v>
      </c>
      <c r="G85" s="698">
        <v>49.66</v>
      </c>
      <c r="H85" s="12" t="s">
        <v>889</v>
      </c>
      <c r="I85" s="12" t="s">
        <v>897</v>
      </c>
      <c r="J85" s="12" t="s">
        <v>906</v>
      </c>
      <c r="K85" s="12" t="s">
        <v>891</v>
      </c>
      <c r="L85" s="12"/>
      <c r="M85" s="11"/>
      <c r="N85" s="11"/>
      <c r="O85" s="11"/>
      <c r="P85" s="11"/>
    </row>
    <row r="86" spans="1:16" x14ac:dyDescent="0.25">
      <c r="A86" s="695">
        <v>56111</v>
      </c>
      <c r="B86" s="558">
        <v>1000</v>
      </c>
      <c r="C86" s="693">
        <v>240</v>
      </c>
      <c r="D86" s="558">
        <v>1000</v>
      </c>
      <c r="F86" s="11" t="s">
        <v>1273</v>
      </c>
      <c r="G86" s="698">
        <v>15</v>
      </c>
      <c r="H86" s="12" t="s">
        <v>889</v>
      </c>
      <c r="I86" s="12" t="s">
        <v>897</v>
      </c>
      <c r="J86" s="12" t="s">
        <v>894</v>
      </c>
      <c r="K86" s="12" t="s">
        <v>891</v>
      </c>
      <c r="L86" s="12"/>
      <c r="M86" s="11"/>
      <c r="N86" s="11"/>
      <c r="O86" s="11"/>
      <c r="P86" s="11"/>
    </row>
    <row r="87" spans="1:16" x14ac:dyDescent="0.25">
      <c r="A87" s="695">
        <v>56111</v>
      </c>
      <c r="B87" s="558">
        <v>1000</v>
      </c>
      <c r="C87" s="693">
        <v>400</v>
      </c>
      <c r="D87" s="558">
        <v>2700</v>
      </c>
      <c r="F87" s="11" t="s">
        <v>1273</v>
      </c>
      <c r="G87" s="698">
        <v>794.93</v>
      </c>
      <c r="H87" s="12" t="s">
        <v>889</v>
      </c>
      <c r="I87" s="12" t="s">
        <v>913</v>
      </c>
      <c r="J87" s="12" t="s">
        <v>934</v>
      </c>
      <c r="K87" s="12" t="s">
        <v>891</v>
      </c>
      <c r="L87" s="12"/>
      <c r="M87" s="11"/>
      <c r="N87" s="11"/>
      <c r="O87" s="11"/>
      <c r="P87" s="11"/>
    </row>
    <row r="88" spans="1:16" x14ac:dyDescent="0.25">
      <c r="A88" s="695">
        <v>56111</v>
      </c>
      <c r="B88" s="558">
        <v>1000</v>
      </c>
      <c r="C88" s="693">
        <v>615</v>
      </c>
      <c r="D88" s="558">
        <v>1000</v>
      </c>
      <c r="F88" s="11" t="s">
        <v>1273</v>
      </c>
      <c r="G88" s="698">
        <v>235.29</v>
      </c>
      <c r="H88" s="12" t="s">
        <v>889</v>
      </c>
      <c r="I88" s="12" t="s">
        <v>937</v>
      </c>
      <c r="J88" s="12" t="s">
        <v>894</v>
      </c>
      <c r="K88" s="12" t="s">
        <v>891</v>
      </c>
      <c r="L88" s="12"/>
      <c r="M88" s="11"/>
      <c r="N88" s="11"/>
      <c r="O88" s="11"/>
      <c r="P88" s="11"/>
    </row>
    <row r="89" spans="1:16" x14ac:dyDescent="0.25">
      <c r="A89" s="695">
        <v>56111</v>
      </c>
      <c r="B89" s="558">
        <v>1012</v>
      </c>
      <c r="C89" s="693">
        <v>100</v>
      </c>
      <c r="D89" s="558">
        <v>2100</v>
      </c>
      <c r="F89" s="11" t="s">
        <v>1273</v>
      </c>
      <c r="G89" s="698">
        <v>9648.31</v>
      </c>
      <c r="H89" s="12" t="s">
        <v>890</v>
      </c>
      <c r="I89" s="12" t="s">
        <v>893</v>
      </c>
      <c r="J89" s="12" t="s">
        <v>902</v>
      </c>
      <c r="K89" s="12" t="s">
        <v>891</v>
      </c>
      <c r="L89" s="12"/>
      <c r="M89" s="11"/>
      <c r="N89" s="11"/>
      <c r="O89" s="11"/>
      <c r="P89" s="11"/>
    </row>
    <row r="90" spans="1:16" x14ac:dyDescent="0.25">
      <c r="A90" s="695">
        <v>56111</v>
      </c>
      <c r="B90" s="558">
        <v>1012</v>
      </c>
      <c r="C90" s="693">
        <v>100</v>
      </c>
      <c r="D90" s="558">
        <v>2200</v>
      </c>
      <c r="F90" s="11" t="s">
        <v>1273</v>
      </c>
      <c r="G90" s="698">
        <v>1593.9</v>
      </c>
      <c r="H90" s="12" t="s">
        <v>890</v>
      </c>
      <c r="I90" s="12" t="s">
        <v>893</v>
      </c>
      <c r="J90" s="12" t="s">
        <v>906</v>
      </c>
      <c r="K90" s="12" t="s">
        <v>891</v>
      </c>
      <c r="L90" s="12"/>
      <c r="M90" s="11"/>
      <c r="N90" s="11"/>
      <c r="O90" s="11"/>
      <c r="P90" s="11"/>
    </row>
    <row r="91" spans="1:16" x14ac:dyDescent="0.25">
      <c r="A91" s="695">
        <v>56111</v>
      </c>
      <c r="B91" s="558">
        <v>1012</v>
      </c>
      <c r="C91" s="693">
        <v>200</v>
      </c>
      <c r="D91" s="558">
        <v>2100</v>
      </c>
      <c r="F91" s="11" t="s">
        <v>1273</v>
      </c>
      <c r="G91" s="698">
        <v>4244.05</v>
      </c>
      <c r="H91" s="12" t="s">
        <v>890</v>
      </c>
      <c r="I91" s="12" t="s">
        <v>897</v>
      </c>
      <c r="J91" s="12" t="s">
        <v>902</v>
      </c>
      <c r="K91" s="12" t="s">
        <v>891</v>
      </c>
      <c r="L91" s="12"/>
      <c r="M91" s="11"/>
      <c r="N91" s="11"/>
      <c r="O91" s="11"/>
      <c r="P91" s="11"/>
    </row>
    <row r="92" spans="1:16" x14ac:dyDescent="0.25">
      <c r="A92" s="695">
        <v>56111</v>
      </c>
      <c r="B92" s="558">
        <v>1190</v>
      </c>
      <c r="C92" s="693">
        <v>260</v>
      </c>
      <c r="D92" s="558">
        <v>1000</v>
      </c>
      <c r="F92" s="11" t="s">
        <v>1273</v>
      </c>
      <c r="G92" s="698">
        <v>3921.03</v>
      </c>
      <c r="H92" s="12" t="s">
        <v>920</v>
      </c>
      <c r="I92" s="12" t="s">
        <v>901</v>
      </c>
      <c r="J92" s="12" t="s">
        <v>894</v>
      </c>
      <c r="K92" s="12" t="s">
        <v>891</v>
      </c>
      <c r="L92" s="12"/>
      <c r="M92" s="11"/>
      <c r="N92" s="11"/>
      <c r="O92" s="11"/>
      <c r="P92" s="11"/>
    </row>
    <row r="93" spans="1:16" x14ac:dyDescent="0.25">
      <c r="A93" s="695">
        <v>56111</v>
      </c>
      <c r="B93" s="558">
        <v>1220</v>
      </c>
      <c r="C93" s="693">
        <v>200</v>
      </c>
      <c r="D93" s="558">
        <v>2100</v>
      </c>
      <c r="F93" s="11" t="s">
        <v>1273</v>
      </c>
      <c r="G93" s="698">
        <v>19409.37</v>
      </c>
      <c r="H93" s="12" t="s">
        <v>932</v>
      </c>
      <c r="I93" s="12" t="s">
        <v>897</v>
      </c>
      <c r="J93" s="12" t="s">
        <v>902</v>
      </c>
      <c r="K93" s="12" t="s">
        <v>891</v>
      </c>
      <c r="L93" s="12"/>
      <c r="M93" s="11"/>
      <c r="N93" s="11"/>
      <c r="O93" s="11"/>
      <c r="P93" s="11"/>
    </row>
    <row r="94" spans="1:16" x14ac:dyDescent="0.25">
      <c r="A94" s="695">
        <v>56111</v>
      </c>
      <c r="B94" s="558">
        <v>1319</v>
      </c>
      <c r="C94" s="693">
        <v>100</v>
      </c>
      <c r="D94" s="558">
        <v>2100</v>
      </c>
      <c r="F94" s="11" t="s">
        <v>1273</v>
      </c>
      <c r="G94" s="698">
        <v>0</v>
      </c>
      <c r="H94" s="12" t="s">
        <v>968</v>
      </c>
      <c r="I94" s="12" t="s">
        <v>893</v>
      </c>
      <c r="J94" s="12" t="s">
        <v>902</v>
      </c>
      <c r="K94" s="12" t="s">
        <v>891</v>
      </c>
      <c r="L94" s="12"/>
      <c r="M94" s="11"/>
      <c r="N94" s="11"/>
      <c r="O94" s="11"/>
      <c r="P94" s="11"/>
    </row>
    <row r="95" spans="1:16" x14ac:dyDescent="0.25">
      <c r="A95" s="695">
        <v>56111</v>
      </c>
      <c r="B95" s="558">
        <v>1321</v>
      </c>
      <c r="C95" s="693">
        <v>100</v>
      </c>
      <c r="D95" s="558">
        <v>1000</v>
      </c>
      <c r="F95" s="11" t="s">
        <v>1273</v>
      </c>
      <c r="G95" s="698">
        <v>7623</v>
      </c>
      <c r="H95" s="12" t="s">
        <v>968</v>
      </c>
      <c r="I95" s="12" t="s">
        <v>893</v>
      </c>
      <c r="J95" s="12" t="s">
        <v>894</v>
      </c>
      <c r="K95" s="12" t="s">
        <v>891</v>
      </c>
      <c r="L95" s="12"/>
      <c r="M95" s="11"/>
      <c r="N95" s="11"/>
      <c r="O95" s="11"/>
      <c r="P95" s="11"/>
    </row>
    <row r="96" spans="1:16" x14ac:dyDescent="0.25">
      <c r="A96" s="695">
        <v>56111</v>
      </c>
      <c r="B96" s="558">
        <v>1321</v>
      </c>
      <c r="C96" s="693">
        <v>100</v>
      </c>
      <c r="D96" s="558">
        <v>2100</v>
      </c>
      <c r="F96" s="11" t="s">
        <v>1273</v>
      </c>
      <c r="G96" s="698">
        <v>67066.52</v>
      </c>
      <c r="H96" s="12" t="s">
        <v>968</v>
      </c>
      <c r="I96" s="12" t="s">
        <v>893</v>
      </c>
      <c r="J96" s="12" t="s">
        <v>902</v>
      </c>
      <c r="K96" s="12" t="s">
        <v>891</v>
      </c>
      <c r="L96" s="12"/>
      <c r="M96" s="11"/>
      <c r="N96" s="11"/>
      <c r="O96" s="11"/>
      <c r="P96" s="11"/>
    </row>
    <row r="97" spans="1:16" x14ac:dyDescent="0.25">
      <c r="A97" s="695">
        <v>56111</v>
      </c>
      <c r="B97" s="558">
        <v>1321</v>
      </c>
      <c r="C97" s="693">
        <v>100</v>
      </c>
      <c r="D97" s="558">
        <v>2200</v>
      </c>
      <c r="F97" s="11" t="s">
        <v>1273</v>
      </c>
      <c r="G97" s="698">
        <v>8927.98</v>
      </c>
      <c r="H97" s="12" t="s">
        <v>968</v>
      </c>
      <c r="I97" s="12" t="s">
        <v>893</v>
      </c>
      <c r="J97" s="12" t="s">
        <v>906</v>
      </c>
      <c r="K97" s="12" t="s">
        <v>891</v>
      </c>
      <c r="L97" s="12"/>
      <c r="M97" s="11"/>
      <c r="N97" s="11"/>
      <c r="O97" s="11"/>
      <c r="P97" s="11"/>
    </row>
    <row r="98" spans="1:16" x14ac:dyDescent="0.25">
      <c r="A98" s="695">
        <v>56111</v>
      </c>
      <c r="B98" s="558">
        <v>1321</v>
      </c>
      <c r="C98" s="693">
        <v>200</v>
      </c>
      <c r="D98" s="558">
        <v>1000</v>
      </c>
      <c r="F98" s="11" t="s">
        <v>1273</v>
      </c>
      <c r="G98" s="698">
        <v>0</v>
      </c>
      <c r="H98" s="12" t="s">
        <v>968</v>
      </c>
      <c r="I98" s="12" t="s">
        <v>897</v>
      </c>
      <c r="J98" s="12" t="s">
        <v>894</v>
      </c>
      <c r="K98" s="12" t="s">
        <v>891</v>
      </c>
      <c r="L98" s="12"/>
      <c r="M98" s="11"/>
      <c r="N98" s="11"/>
      <c r="O98" s="11"/>
      <c r="P98" s="11"/>
    </row>
    <row r="99" spans="1:16" x14ac:dyDescent="0.25">
      <c r="A99" s="695">
        <v>56111</v>
      </c>
      <c r="B99" s="558">
        <v>1321</v>
      </c>
      <c r="C99" s="693">
        <v>200</v>
      </c>
      <c r="D99" s="558">
        <v>2100</v>
      </c>
      <c r="F99" s="11" t="s">
        <v>1273</v>
      </c>
      <c r="G99" s="698">
        <v>32315.71</v>
      </c>
      <c r="H99" s="12" t="s">
        <v>968</v>
      </c>
      <c r="I99" s="12" t="s">
        <v>897</v>
      </c>
      <c r="J99" s="12" t="s">
        <v>902</v>
      </c>
      <c r="K99" s="12" t="s">
        <v>891</v>
      </c>
      <c r="L99" s="12"/>
      <c r="M99" s="11"/>
      <c r="N99" s="11"/>
      <c r="O99" s="11"/>
      <c r="P99" s="11"/>
    </row>
    <row r="100" spans="1:16" x14ac:dyDescent="0.25">
      <c r="A100" s="695">
        <v>56111</v>
      </c>
      <c r="B100" s="558">
        <v>1321</v>
      </c>
      <c r="C100" s="693">
        <v>260</v>
      </c>
      <c r="D100" s="558">
        <v>1000</v>
      </c>
      <c r="F100" s="11" t="s">
        <v>1273</v>
      </c>
      <c r="G100" s="698">
        <v>16382.15</v>
      </c>
      <c r="H100" s="12" t="s">
        <v>968</v>
      </c>
      <c r="I100" s="12" t="s">
        <v>901</v>
      </c>
      <c r="J100" s="12" t="s">
        <v>894</v>
      </c>
      <c r="K100" s="12" t="s">
        <v>891</v>
      </c>
      <c r="L100" s="12"/>
      <c r="M100" s="11"/>
      <c r="N100" s="11"/>
      <c r="O100" s="11"/>
      <c r="P100" s="11"/>
    </row>
    <row r="101" spans="1:16" x14ac:dyDescent="0.25">
      <c r="A101" s="695">
        <v>56111</v>
      </c>
      <c r="B101" s="558" t="s">
        <v>1245</v>
      </c>
      <c r="C101" s="693">
        <v>100</v>
      </c>
      <c r="D101" s="558">
        <v>1000</v>
      </c>
      <c r="F101" s="11" t="s">
        <v>1273</v>
      </c>
      <c r="G101" s="698">
        <v>27689.23</v>
      </c>
      <c r="H101" s="12" t="s">
        <v>904</v>
      </c>
      <c r="I101" s="12" t="s">
        <v>893</v>
      </c>
      <c r="J101" s="12" t="s">
        <v>894</v>
      </c>
      <c r="K101" s="12" t="s">
        <v>891</v>
      </c>
      <c r="L101" s="12"/>
      <c r="M101" s="11"/>
      <c r="N101" s="11"/>
      <c r="O101" s="11"/>
      <c r="P101" s="11"/>
    </row>
    <row r="102" spans="1:16" x14ac:dyDescent="0.25">
      <c r="A102" s="694">
        <v>56111</v>
      </c>
      <c r="B102" s="558" t="s">
        <v>1246</v>
      </c>
      <c r="C102" s="693">
        <v>100</v>
      </c>
      <c r="D102" s="558">
        <v>3100</v>
      </c>
      <c r="F102" s="11" t="s">
        <v>1273</v>
      </c>
      <c r="G102" s="698">
        <v>12981.83</v>
      </c>
      <c r="H102" s="12" t="s">
        <v>997</v>
      </c>
      <c r="I102" s="12" t="s">
        <v>893</v>
      </c>
      <c r="J102" s="12" t="s">
        <v>942</v>
      </c>
      <c r="K102" s="12" t="s">
        <v>891</v>
      </c>
      <c r="L102" s="12"/>
      <c r="M102" s="11"/>
      <c r="N102" s="11"/>
      <c r="O102" s="11"/>
      <c r="P102" s="11"/>
    </row>
    <row r="103" spans="1:16" x14ac:dyDescent="0.25">
      <c r="A103" s="695">
        <v>56112</v>
      </c>
      <c r="B103" s="558">
        <v>1000</v>
      </c>
      <c r="C103" s="693">
        <v>100</v>
      </c>
      <c r="D103" s="558">
        <v>1000</v>
      </c>
      <c r="F103" s="11" t="s">
        <v>1274</v>
      </c>
      <c r="G103" s="698">
        <v>878930.53</v>
      </c>
      <c r="H103" s="12" t="s">
        <v>889</v>
      </c>
      <c r="I103" s="12" t="s">
        <v>893</v>
      </c>
      <c r="J103" s="12" t="s">
        <v>894</v>
      </c>
      <c r="K103" s="12" t="s">
        <v>891</v>
      </c>
      <c r="L103" s="12"/>
      <c r="M103" s="11"/>
      <c r="N103" s="11"/>
      <c r="O103" s="11"/>
      <c r="P103" s="11"/>
    </row>
    <row r="104" spans="1:16" x14ac:dyDescent="0.25">
      <c r="A104" s="695">
        <v>56112</v>
      </c>
      <c r="B104" s="558">
        <v>1000</v>
      </c>
      <c r="C104" s="693">
        <v>100</v>
      </c>
      <c r="D104" s="558">
        <v>2100</v>
      </c>
      <c r="F104" s="11" t="s">
        <v>1274</v>
      </c>
      <c r="G104" s="698">
        <v>0</v>
      </c>
      <c r="H104" s="12" t="s">
        <v>889</v>
      </c>
      <c r="I104" s="12" t="s">
        <v>893</v>
      </c>
      <c r="J104" s="12" t="s">
        <v>902</v>
      </c>
      <c r="K104" s="12" t="s">
        <v>891</v>
      </c>
      <c r="L104" s="12"/>
      <c r="M104" s="11"/>
      <c r="N104" s="11"/>
      <c r="O104" s="11"/>
      <c r="P104" s="11"/>
    </row>
    <row r="105" spans="1:16" x14ac:dyDescent="0.25">
      <c r="A105" s="695">
        <v>56112</v>
      </c>
      <c r="B105" s="558">
        <v>1000</v>
      </c>
      <c r="C105" s="693">
        <v>100</v>
      </c>
      <c r="D105" s="558">
        <v>2400</v>
      </c>
      <c r="F105" s="11" t="s">
        <v>1274</v>
      </c>
      <c r="G105" s="698">
        <v>0</v>
      </c>
      <c r="H105" s="12" t="s">
        <v>889</v>
      </c>
      <c r="I105" s="12" t="s">
        <v>893</v>
      </c>
      <c r="J105" s="12" t="s">
        <v>922</v>
      </c>
      <c r="K105" s="12" t="s">
        <v>891</v>
      </c>
      <c r="L105" s="12"/>
      <c r="M105" s="11"/>
      <c r="N105" s="11"/>
      <c r="O105" s="11"/>
      <c r="P105" s="11"/>
    </row>
    <row r="106" spans="1:16" x14ac:dyDescent="0.25">
      <c r="A106" s="695">
        <v>56112</v>
      </c>
      <c r="B106" s="558">
        <v>1000</v>
      </c>
      <c r="C106" s="693">
        <v>100</v>
      </c>
      <c r="D106" s="558">
        <v>2500</v>
      </c>
      <c r="F106" s="11" t="s">
        <v>1274</v>
      </c>
      <c r="G106" s="698">
        <v>1148.06</v>
      </c>
      <c r="H106" s="12" t="s">
        <v>889</v>
      </c>
      <c r="I106" s="12" t="s">
        <v>893</v>
      </c>
      <c r="J106" s="12" t="s">
        <v>926</v>
      </c>
      <c r="K106" s="12" t="s">
        <v>891</v>
      </c>
      <c r="L106" s="12"/>
      <c r="M106" s="11"/>
      <c r="N106" s="11"/>
      <c r="O106" s="11"/>
      <c r="P106" s="11"/>
    </row>
    <row r="107" spans="1:16" x14ac:dyDescent="0.25">
      <c r="A107" s="695">
        <v>56112</v>
      </c>
      <c r="B107" s="558">
        <v>1000</v>
      </c>
      <c r="C107" s="693">
        <v>200</v>
      </c>
      <c r="D107" s="558">
        <v>1000</v>
      </c>
      <c r="F107" s="11" t="s">
        <v>1274</v>
      </c>
      <c r="G107" s="698">
        <v>58282.3</v>
      </c>
      <c r="H107" s="12" t="s">
        <v>889</v>
      </c>
      <c r="I107" s="12" t="s">
        <v>897</v>
      </c>
      <c r="J107" s="12" t="s">
        <v>894</v>
      </c>
      <c r="K107" s="12" t="s">
        <v>891</v>
      </c>
      <c r="L107" s="12"/>
      <c r="M107" s="11"/>
      <c r="N107" s="11"/>
      <c r="O107" s="11"/>
      <c r="P107" s="11"/>
    </row>
    <row r="108" spans="1:16" x14ac:dyDescent="0.25">
      <c r="A108" s="695">
        <v>56112</v>
      </c>
      <c r="B108" s="558">
        <v>1000</v>
      </c>
      <c r="C108" s="693">
        <v>200</v>
      </c>
      <c r="D108" s="558">
        <v>2100</v>
      </c>
      <c r="F108" s="11" t="s">
        <v>1274</v>
      </c>
      <c r="G108" s="698">
        <v>0</v>
      </c>
      <c r="H108" s="12" t="s">
        <v>889</v>
      </c>
      <c r="I108" s="12" t="s">
        <v>897</v>
      </c>
      <c r="J108" s="12" t="s">
        <v>902</v>
      </c>
      <c r="K108" s="12" t="s">
        <v>891</v>
      </c>
      <c r="L108" s="12"/>
      <c r="M108" s="11"/>
      <c r="N108" s="11"/>
      <c r="O108" s="11"/>
      <c r="P108" s="11"/>
    </row>
    <row r="109" spans="1:16" x14ac:dyDescent="0.25">
      <c r="A109" s="695">
        <v>56112</v>
      </c>
      <c r="B109" s="558">
        <v>1000</v>
      </c>
      <c r="C109" s="693">
        <v>240</v>
      </c>
      <c r="D109" s="558">
        <v>1000</v>
      </c>
      <c r="F109" s="11" t="s">
        <v>1274</v>
      </c>
      <c r="G109" s="698">
        <v>3323.87</v>
      </c>
      <c r="H109" s="12" t="s">
        <v>889</v>
      </c>
      <c r="I109" s="12" t="s">
        <v>897</v>
      </c>
      <c r="J109" s="12" t="s">
        <v>894</v>
      </c>
      <c r="K109" s="12" t="s">
        <v>891</v>
      </c>
      <c r="L109" s="12"/>
      <c r="M109" s="11"/>
      <c r="N109" s="11"/>
      <c r="O109" s="11"/>
      <c r="P109" s="11"/>
    </row>
    <row r="110" spans="1:16" x14ac:dyDescent="0.25">
      <c r="A110" s="695">
        <v>56112</v>
      </c>
      <c r="B110" s="558">
        <v>1000</v>
      </c>
      <c r="C110" s="693">
        <v>260</v>
      </c>
      <c r="D110" s="558">
        <v>1000</v>
      </c>
      <c r="F110" s="11" t="s">
        <v>1274</v>
      </c>
      <c r="G110" s="698">
        <v>152.83000000000001</v>
      </c>
      <c r="H110" s="12" t="s">
        <v>889</v>
      </c>
      <c r="I110" s="12" t="s">
        <v>901</v>
      </c>
      <c r="J110" s="12" t="s">
        <v>894</v>
      </c>
      <c r="K110" s="12" t="s">
        <v>891</v>
      </c>
      <c r="L110" s="12"/>
      <c r="M110" s="11"/>
      <c r="N110" s="11"/>
      <c r="O110" s="11"/>
      <c r="P110" s="11"/>
    </row>
    <row r="111" spans="1:16" x14ac:dyDescent="0.25">
      <c r="A111" s="695">
        <v>56112</v>
      </c>
      <c r="B111" s="558">
        <v>1012</v>
      </c>
      <c r="C111" s="693">
        <v>100</v>
      </c>
      <c r="D111" s="558">
        <v>1000</v>
      </c>
      <c r="F111" s="11" t="s">
        <v>1274</v>
      </c>
      <c r="G111" s="698">
        <v>258034.16</v>
      </c>
      <c r="H111" s="12" t="s">
        <v>890</v>
      </c>
      <c r="I111" s="12" t="s">
        <v>893</v>
      </c>
      <c r="J111" s="12" t="s">
        <v>894</v>
      </c>
      <c r="K111" s="12" t="s">
        <v>891</v>
      </c>
      <c r="L111" s="12"/>
      <c r="M111" s="11"/>
      <c r="N111" s="11"/>
      <c r="O111" s="11"/>
      <c r="P111" s="11"/>
    </row>
    <row r="112" spans="1:16" x14ac:dyDescent="0.25">
      <c r="A112" s="695">
        <v>56112</v>
      </c>
      <c r="B112" s="558">
        <v>1012</v>
      </c>
      <c r="C112" s="693">
        <v>200</v>
      </c>
      <c r="D112" s="558">
        <v>1000</v>
      </c>
      <c r="F112" s="11" t="s">
        <v>1274</v>
      </c>
      <c r="G112" s="698">
        <v>1524.85</v>
      </c>
      <c r="H112" s="12" t="s">
        <v>890</v>
      </c>
      <c r="I112" s="12" t="s">
        <v>897</v>
      </c>
      <c r="J112" s="12" t="s">
        <v>894</v>
      </c>
      <c r="K112" s="12" t="s">
        <v>891</v>
      </c>
      <c r="L112" s="12"/>
      <c r="M112" s="11"/>
      <c r="N112" s="11"/>
      <c r="O112" s="11"/>
      <c r="P112" s="11"/>
    </row>
    <row r="113" spans="1:16" x14ac:dyDescent="0.25">
      <c r="A113" s="695">
        <v>56112</v>
      </c>
      <c r="B113" s="558">
        <v>1319</v>
      </c>
      <c r="C113" s="693">
        <v>100</v>
      </c>
      <c r="D113" s="558">
        <v>1000</v>
      </c>
      <c r="F113" s="11" t="s">
        <v>1274</v>
      </c>
      <c r="G113" s="698">
        <v>0</v>
      </c>
      <c r="H113" s="12" t="s">
        <v>968</v>
      </c>
      <c r="I113" s="12" t="s">
        <v>893</v>
      </c>
      <c r="J113" s="12" t="s">
        <v>894</v>
      </c>
      <c r="K113" s="12" t="s">
        <v>891</v>
      </c>
      <c r="L113" s="12"/>
      <c r="M113" s="11"/>
      <c r="N113" s="11"/>
      <c r="O113" s="11"/>
      <c r="P113" s="11"/>
    </row>
    <row r="114" spans="1:16" x14ac:dyDescent="0.25">
      <c r="A114" s="695">
        <v>56112</v>
      </c>
      <c r="B114" s="558">
        <v>1319</v>
      </c>
      <c r="C114" s="693">
        <v>200</v>
      </c>
      <c r="D114" s="558">
        <v>2100</v>
      </c>
      <c r="F114" s="11" t="s">
        <v>1274</v>
      </c>
      <c r="G114" s="698">
        <v>0</v>
      </c>
      <c r="H114" s="12" t="s">
        <v>968</v>
      </c>
      <c r="I114" s="12" t="s">
        <v>897</v>
      </c>
      <c r="J114" s="12" t="s">
        <v>902</v>
      </c>
      <c r="K114" s="12" t="s">
        <v>891</v>
      </c>
      <c r="L114" s="12"/>
      <c r="M114" s="11"/>
      <c r="N114" s="11"/>
      <c r="O114" s="11"/>
      <c r="P114" s="11"/>
    </row>
    <row r="115" spans="1:16" x14ac:dyDescent="0.25">
      <c r="A115" s="695">
        <v>56112</v>
      </c>
      <c r="B115" s="558">
        <v>1319</v>
      </c>
      <c r="C115" s="693">
        <v>260</v>
      </c>
      <c r="D115" s="558">
        <v>1000</v>
      </c>
      <c r="F115" s="11" t="s">
        <v>1274</v>
      </c>
      <c r="G115" s="698">
        <v>0</v>
      </c>
      <c r="H115" s="12" t="s">
        <v>968</v>
      </c>
      <c r="I115" s="12" t="s">
        <v>901</v>
      </c>
      <c r="J115" s="12" t="s">
        <v>894</v>
      </c>
      <c r="K115" s="12" t="s">
        <v>891</v>
      </c>
      <c r="L115" s="12"/>
      <c r="M115" s="11"/>
      <c r="N115" s="11"/>
      <c r="O115" s="11"/>
      <c r="P115" s="11"/>
    </row>
    <row r="116" spans="1:16" x14ac:dyDescent="0.25">
      <c r="A116" s="695">
        <v>56112</v>
      </c>
      <c r="B116" s="558">
        <v>1321</v>
      </c>
      <c r="C116" s="693">
        <v>100</v>
      </c>
      <c r="D116" s="558">
        <v>1000</v>
      </c>
      <c r="F116" s="11" t="s">
        <v>1274</v>
      </c>
      <c r="G116" s="698">
        <v>120819.5</v>
      </c>
      <c r="H116" s="12" t="s">
        <v>968</v>
      </c>
      <c r="I116" s="12" t="s">
        <v>893</v>
      </c>
      <c r="J116" s="12" t="s">
        <v>894</v>
      </c>
      <c r="K116" s="12" t="s">
        <v>891</v>
      </c>
      <c r="L116" s="12"/>
      <c r="M116" s="11"/>
      <c r="N116" s="11"/>
      <c r="O116" s="11"/>
      <c r="P116" s="11"/>
    </row>
    <row r="117" spans="1:16" x14ac:dyDescent="0.25">
      <c r="A117" s="695">
        <v>56112</v>
      </c>
      <c r="B117" s="558" t="s">
        <v>1245</v>
      </c>
      <c r="C117" s="693">
        <v>100</v>
      </c>
      <c r="D117" s="558">
        <v>1000</v>
      </c>
      <c r="F117" s="11" t="s">
        <v>1274</v>
      </c>
      <c r="G117" s="698">
        <v>52526.400000000001</v>
      </c>
      <c r="H117" s="12" t="s">
        <v>904</v>
      </c>
      <c r="I117" s="12" t="s">
        <v>893</v>
      </c>
      <c r="J117" s="12" t="s">
        <v>894</v>
      </c>
      <c r="K117" s="12" t="s">
        <v>891</v>
      </c>
      <c r="L117" s="12"/>
      <c r="M117" s="11"/>
      <c r="N117" s="11"/>
      <c r="O117" s="11"/>
      <c r="P117" s="11"/>
    </row>
    <row r="118" spans="1:16" x14ac:dyDescent="0.25">
      <c r="A118" s="694">
        <v>56112</v>
      </c>
      <c r="B118" s="558" t="s">
        <v>1245</v>
      </c>
      <c r="C118" s="693">
        <v>260</v>
      </c>
      <c r="D118" s="558">
        <v>1000</v>
      </c>
      <c r="F118" s="11" t="s">
        <v>1274</v>
      </c>
      <c r="G118" s="698">
        <v>5112.93</v>
      </c>
      <c r="H118" s="12" t="s">
        <v>904</v>
      </c>
      <c r="I118" s="12" t="s">
        <v>901</v>
      </c>
      <c r="J118" s="12" t="s">
        <v>894</v>
      </c>
      <c r="K118" s="12" t="s">
        <v>891</v>
      </c>
      <c r="L118" s="12"/>
      <c r="M118" s="11"/>
      <c r="N118" s="11"/>
      <c r="O118" s="11"/>
      <c r="P118" s="11"/>
    </row>
    <row r="119" spans="1:16" x14ac:dyDescent="0.25">
      <c r="A119" s="694">
        <v>56113</v>
      </c>
      <c r="B119" s="558">
        <v>1000</v>
      </c>
      <c r="C119" s="693">
        <v>100</v>
      </c>
      <c r="D119" s="558">
        <v>2500</v>
      </c>
      <c r="F119" s="11" t="s">
        <v>1275</v>
      </c>
      <c r="G119" s="698">
        <v>-114.96</v>
      </c>
      <c r="H119" s="12" t="s">
        <v>889</v>
      </c>
      <c r="I119" s="12" t="s">
        <v>893</v>
      </c>
      <c r="J119" s="12" t="s">
        <v>926</v>
      </c>
      <c r="K119" s="12" t="s">
        <v>891</v>
      </c>
      <c r="L119" s="12"/>
      <c r="M119" s="11"/>
      <c r="N119" s="11"/>
      <c r="O119" s="11"/>
      <c r="P119" s="11"/>
    </row>
    <row r="120" spans="1:16" x14ac:dyDescent="0.25">
      <c r="A120" s="695">
        <v>56114</v>
      </c>
      <c r="B120" s="558">
        <v>1000</v>
      </c>
      <c r="C120" s="693">
        <v>100</v>
      </c>
      <c r="D120" s="558">
        <v>1000</v>
      </c>
      <c r="F120" s="11" t="s">
        <v>1276</v>
      </c>
      <c r="G120" s="698">
        <v>30093.439999999999</v>
      </c>
      <c r="H120" s="12" t="s">
        <v>889</v>
      </c>
      <c r="I120" s="12" t="s">
        <v>893</v>
      </c>
      <c r="J120" s="12" t="s">
        <v>894</v>
      </c>
      <c r="K120" s="12" t="s">
        <v>891</v>
      </c>
      <c r="L120" s="12"/>
      <c r="M120" s="11"/>
      <c r="N120" s="11"/>
      <c r="O120" s="11"/>
      <c r="P120" s="11"/>
    </row>
    <row r="121" spans="1:16" x14ac:dyDescent="0.25">
      <c r="A121" s="695">
        <v>56114</v>
      </c>
      <c r="B121" s="558">
        <v>1321</v>
      </c>
      <c r="C121" s="693">
        <v>100</v>
      </c>
      <c r="D121" s="558">
        <v>1000</v>
      </c>
      <c r="F121" s="11" t="s">
        <v>1276</v>
      </c>
      <c r="G121" s="698">
        <v>15939.25</v>
      </c>
      <c r="H121" s="12" t="s">
        <v>968</v>
      </c>
      <c r="I121" s="12" t="s">
        <v>893</v>
      </c>
      <c r="J121" s="12" t="s">
        <v>894</v>
      </c>
      <c r="K121" s="12" t="s">
        <v>891</v>
      </c>
      <c r="L121" s="12"/>
      <c r="M121" s="11"/>
      <c r="N121" s="11"/>
      <c r="O121" s="11"/>
      <c r="P121" s="11"/>
    </row>
    <row r="122" spans="1:16" x14ac:dyDescent="0.25">
      <c r="A122" s="694">
        <v>56114</v>
      </c>
      <c r="B122" s="558" t="s">
        <v>1245</v>
      </c>
      <c r="C122" s="693">
        <v>100</v>
      </c>
      <c r="D122" s="558">
        <v>1000</v>
      </c>
      <c r="F122" s="11" t="s">
        <v>1276</v>
      </c>
      <c r="G122" s="698">
        <v>28454.6</v>
      </c>
      <c r="H122" s="12" t="s">
        <v>904</v>
      </c>
      <c r="I122" s="12" t="s">
        <v>893</v>
      </c>
      <c r="J122" s="12" t="s">
        <v>894</v>
      </c>
      <c r="K122" s="12" t="s">
        <v>891</v>
      </c>
      <c r="L122" s="12"/>
      <c r="M122" s="11"/>
      <c r="N122" s="11"/>
      <c r="O122" s="11"/>
      <c r="P122" s="11"/>
    </row>
    <row r="123" spans="1:16" x14ac:dyDescent="0.25">
      <c r="A123" s="694">
        <v>56117</v>
      </c>
      <c r="B123" s="558">
        <v>1000</v>
      </c>
      <c r="C123" s="693">
        <v>100</v>
      </c>
      <c r="D123" s="558">
        <v>2500</v>
      </c>
      <c r="F123" s="11" t="s">
        <v>1277</v>
      </c>
      <c r="G123" s="698">
        <v>696.67</v>
      </c>
      <c r="H123" s="12" t="s">
        <v>889</v>
      </c>
      <c r="I123" s="12" t="s">
        <v>893</v>
      </c>
      <c r="J123" s="12" t="s">
        <v>926</v>
      </c>
      <c r="K123" s="12" t="s">
        <v>891</v>
      </c>
      <c r="L123" s="12"/>
      <c r="M123" s="11"/>
      <c r="N123" s="11"/>
      <c r="O123" s="11"/>
      <c r="P123" s="11"/>
    </row>
    <row r="124" spans="1:16" x14ac:dyDescent="0.25">
      <c r="A124" s="695">
        <v>56121</v>
      </c>
      <c r="B124" s="558">
        <v>1000</v>
      </c>
      <c r="C124" s="693">
        <v>100</v>
      </c>
      <c r="D124" s="558">
        <v>1000</v>
      </c>
      <c r="F124" s="11" t="s">
        <v>1278</v>
      </c>
      <c r="G124" s="698">
        <v>1568.63</v>
      </c>
      <c r="H124" s="12" t="s">
        <v>889</v>
      </c>
      <c r="I124" s="12" t="s">
        <v>893</v>
      </c>
      <c r="J124" s="12" t="s">
        <v>894</v>
      </c>
      <c r="K124" s="12" t="s">
        <v>891</v>
      </c>
      <c r="L124" s="12"/>
      <c r="M124" s="11"/>
      <c r="N124" s="11"/>
      <c r="O124" s="11"/>
      <c r="P124" s="11"/>
    </row>
    <row r="125" spans="1:16" x14ac:dyDescent="0.25">
      <c r="A125" s="695">
        <v>56121</v>
      </c>
      <c r="B125" s="558">
        <v>1000</v>
      </c>
      <c r="C125" s="693">
        <v>100</v>
      </c>
      <c r="D125" s="558">
        <v>2100</v>
      </c>
      <c r="F125" s="11" t="s">
        <v>1278</v>
      </c>
      <c r="G125" s="698">
        <v>971.18</v>
      </c>
      <c r="H125" s="12" t="s">
        <v>889</v>
      </c>
      <c r="I125" s="12" t="s">
        <v>893</v>
      </c>
      <c r="J125" s="12" t="s">
        <v>902</v>
      </c>
      <c r="K125" s="12" t="s">
        <v>891</v>
      </c>
      <c r="L125" s="12"/>
      <c r="M125" s="11"/>
      <c r="N125" s="11"/>
      <c r="O125" s="11"/>
      <c r="P125" s="11"/>
    </row>
    <row r="126" spans="1:16" x14ac:dyDescent="0.25">
      <c r="A126" s="695">
        <v>56121</v>
      </c>
      <c r="B126" s="558">
        <v>1000</v>
      </c>
      <c r="C126" s="693">
        <v>100</v>
      </c>
      <c r="D126" s="558">
        <v>2110</v>
      </c>
      <c r="F126" s="11" t="s">
        <v>1278</v>
      </c>
      <c r="G126" s="698">
        <v>60.93</v>
      </c>
      <c r="H126" s="12" t="s">
        <v>889</v>
      </c>
      <c r="I126" s="12" t="s">
        <v>893</v>
      </c>
      <c r="J126" s="12" t="s">
        <v>902</v>
      </c>
      <c r="K126" s="12" t="s">
        <v>891</v>
      </c>
      <c r="L126" s="12"/>
      <c r="M126" s="11"/>
      <c r="N126" s="11"/>
      <c r="O126" s="11"/>
      <c r="P126" s="11"/>
    </row>
    <row r="127" spans="1:16" x14ac:dyDescent="0.25">
      <c r="A127" s="695">
        <v>56121</v>
      </c>
      <c r="B127" s="558">
        <v>1000</v>
      </c>
      <c r="C127" s="693">
        <v>100</v>
      </c>
      <c r="D127" s="558">
        <v>2200</v>
      </c>
      <c r="F127" s="11" t="s">
        <v>1278</v>
      </c>
      <c r="G127" s="698">
        <v>1364.14</v>
      </c>
      <c r="H127" s="12" t="s">
        <v>889</v>
      </c>
      <c r="I127" s="12" t="s">
        <v>893</v>
      </c>
      <c r="J127" s="12" t="s">
        <v>906</v>
      </c>
      <c r="K127" s="12" t="s">
        <v>891</v>
      </c>
      <c r="L127" s="12"/>
      <c r="M127" s="11"/>
      <c r="N127" s="11"/>
      <c r="O127" s="11"/>
      <c r="P127" s="11"/>
    </row>
    <row r="128" spans="1:16" x14ac:dyDescent="0.25">
      <c r="A128" s="695">
        <v>56121</v>
      </c>
      <c r="B128" s="558">
        <v>1000</v>
      </c>
      <c r="C128" s="693">
        <v>100</v>
      </c>
      <c r="D128" s="558">
        <v>2400</v>
      </c>
      <c r="F128" s="11" t="s">
        <v>1278</v>
      </c>
      <c r="G128" s="698">
        <v>304.64999999999998</v>
      </c>
      <c r="H128" s="12" t="s">
        <v>889</v>
      </c>
      <c r="I128" s="12" t="s">
        <v>893</v>
      </c>
      <c r="J128" s="12" t="s">
        <v>922</v>
      </c>
      <c r="K128" s="12" t="s">
        <v>891</v>
      </c>
      <c r="L128" s="12"/>
      <c r="M128" s="11"/>
      <c r="N128" s="11"/>
      <c r="O128" s="11"/>
      <c r="P128" s="11"/>
    </row>
    <row r="129" spans="1:16" x14ac:dyDescent="0.25">
      <c r="A129" s="695">
        <v>56121</v>
      </c>
      <c r="B129" s="558">
        <v>1000</v>
      </c>
      <c r="C129" s="693">
        <v>100</v>
      </c>
      <c r="D129" s="558">
        <v>2410</v>
      </c>
      <c r="F129" s="11" t="s">
        <v>1278</v>
      </c>
      <c r="G129" s="698">
        <v>2000</v>
      </c>
      <c r="H129" s="12" t="s">
        <v>889</v>
      </c>
      <c r="I129" s="12" t="s">
        <v>893</v>
      </c>
      <c r="J129" s="12" t="s">
        <v>922</v>
      </c>
      <c r="K129" s="12" t="s">
        <v>891</v>
      </c>
      <c r="L129" s="12"/>
      <c r="M129" s="11"/>
      <c r="N129" s="11"/>
      <c r="O129" s="11"/>
      <c r="P129" s="11"/>
    </row>
    <row r="130" spans="1:16" x14ac:dyDescent="0.25">
      <c r="A130" s="695">
        <v>56121</v>
      </c>
      <c r="B130" s="558">
        <v>1000</v>
      </c>
      <c r="C130" s="693">
        <v>100</v>
      </c>
      <c r="D130" s="558">
        <v>2500</v>
      </c>
      <c r="F130" s="11" t="s">
        <v>1278</v>
      </c>
      <c r="G130" s="698">
        <v>4043.46</v>
      </c>
      <c r="H130" s="12" t="s">
        <v>889</v>
      </c>
      <c r="I130" s="12" t="s">
        <v>893</v>
      </c>
      <c r="J130" s="12" t="s">
        <v>926</v>
      </c>
      <c r="K130" s="12" t="s">
        <v>891</v>
      </c>
      <c r="L130" s="12"/>
      <c r="M130" s="11"/>
      <c r="N130" s="11"/>
      <c r="O130" s="11"/>
      <c r="P130" s="11"/>
    </row>
    <row r="131" spans="1:16" x14ac:dyDescent="0.25">
      <c r="A131" s="695">
        <v>56121</v>
      </c>
      <c r="B131" s="558">
        <v>1000</v>
      </c>
      <c r="C131" s="693">
        <v>200</v>
      </c>
      <c r="D131" s="558">
        <v>1000</v>
      </c>
      <c r="F131" s="11" t="s">
        <v>1278</v>
      </c>
      <c r="G131" s="698">
        <v>91.39</v>
      </c>
      <c r="H131" s="12" t="s">
        <v>889</v>
      </c>
      <c r="I131" s="12" t="s">
        <v>897</v>
      </c>
      <c r="J131" s="12" t="s">
        <v>894</v>
      </c>
      <c r="K131" s="12" t="s">
        <v>891</v>
      </c>
      <c r="L131" s="12"/>
      <c r="M131" s="11"/>
      <c r="N131" s="11"/>
      <c r="O131" s="11"/>
      <c r="P131" s="11"/>
    </row>
    <row r="132" spans="1:16" x14ac:dyDescent="0.25">
      <c r="A132" s="695">
        <v>56121</v>
      </c>
      <c r="B132" s="558">
        <v>1000</v>
      </c>
      <c r="C132" s="693">
        <v>200</v>
      </c>
      <c r="D132" s="558">
        <v>2100</v>
      </c>
      <c r="F132" s="11" t="s">
        <v>1278</v>
      </c>
      <c r="G132" s="698">
        <v>0</v>
      </c>
      <c r="H132" s="12" t="s">
        <v>889</v>
      </c>
      <c r="I132" s="12" t="s">
        <v>897</v>
      </c>
      <c r="J132" s="12" t="s">
        <v>902</v>
      </c>
      <c r="K132" s="12" t="s">
        <v>891</v>
      </c>
      <c r="L132" s="12"/>
      <c r="M132" s="11"/>
      <c r="N132" s="11"/>
      <c r="O132" s="11"/>
      <c r="P132" s="11"/>
    </row>
    <row r="133" spans="1:16" x14ac:dyDescent="0.25">
      <c r="A133" s="695">
        <v>56121</v>
      </c>
      <c r="B133" s="558">
        <v>1322</v>
      </c>
      <c r="C133" s="693">
        <v>100</v>
      </c>
      <c r="D133" s="558">
        <v>2500</v>
      </c>
      <c r="F133" s="11" t="s">
        <v>1278</v>
      </c>
      <c r="G133" s="698">
        <v>0</v>
      </c>
      <c r="H133" s="12" t="s">
        <v>968</v>
      </c>
      <c r="I133" s="12" t="s">
        <v>893</v>
      </c>
      <c r="J133" s="12" t="s">
        <v>926</v>
      </c>
      <c r="K133" s="12" t="s">
        <v>891</v>
      </c>
      <c r="L133" s="12"/>
      <c r="M133" s="11"/>
      <c r="N133" s="11"/>
      <c r="O133" s="11"/>
      <c r="P133" s="11"/>
    </row>
    <row r="134" spans="1:16" x14ac:dyDescent="0.25">
      <c r="A134" s="694">
        <v>56121</v>
      </c>
      <c r="B134" s="558">
        <v>1910</v>
      </c>
      <c r="C134" s="693">
        <v>615</v>
      </c>
      <c r="D134" s="558">
        <v>1000</v>
      </c>
      <c r="F134" s="11" t="s">
        <v>1278</v>
      </c>
      <c r="G134" s="698">
        <v>125</v>
      </c>
      <c r="H134" s="12" t="s">
        <v>997</v>
      </c>
      <c r="I134" s="12" t="s">
        <v>937</v>
      </c>
      <c r="J134" s="12" t="s">
        <v>894</v>
      </c>
      <c r="K134" s="12" t="s">
        <v>891</v>
      </c>
      <c r="L134" s="12"/>
      <c r="M134" s="11"/>
      <c r="N134" s="11"/>
      <c r="O134" s="11"/>
      <c r="P134" s="11"/>
    </row>
    <row r="135" spans="1:16" x14ac:dyDescent="0.25">
      <c r="A135" s="695">
        <v>56122</v>
      </c>
      <c r="B135" s="558">
        <v>1000</v>
      </c>
      <c r="C135" s="693">
        <v>100</v>
      </c>
      <c r="D135" s="558">
        <v>1000</v>
      </c>
      <c r="F135" s="11" t="s">
        <v>1279</v>
      </c>
      <c r="G135" s="698">
        <v>18169.84</v>
      </c>
      <c r="H135" s="12" t="s">
        <v>889</v>
      </c>
      <c r="I135" s="12" t="s">
        <v>893</v>
      </c>
      <c r="J135" s="12" t="s">
        <v>894</v>
      </c>
      <c r="K135" s="12" t="s">
        <v>891</v>
      </c>
      <c r="L135" s="12"/>
      <c r="M135" s="11"/>
      <c r="N135" s="11"/>
      <c r="O135" s="11"/>
      <c r="P135" s="11"/>
    </row>
    <row r="136" spans="1:16" x14ac:dyDescent="0.25">
      <c r="A136" s="695">
        <v>56122</v>
      </c>
      <c r="B136" s="558">
        <v>1000</v>
      </c>
      <c r="C136" s="693">
        <v>100</v>
      </c>
      <c r="D136" s="558">
        <v>2100</v>
      </c>
      <c r="F136" s="11" t="s">
        <v>1279</v>
      </c>
      <c r="G136" s="698">
        <v>571.41999999999996</v>
      </c>
      <c r="H136" s="12" t="s">
        <v>889</v>
      </c>
      <c r="I136" s="12" t="s">
        <v>893</v>
      </c>
      <c r="J136" s="12" t="s">
        <v>902</v>
      </c>
      <c r="K136" s="12" t="s">
        <v>891</v>
      </c>
      <c r="L136" s="12"/>
      <c r="M136" s="11"/>
      <c r="N136" s="11"/>
      <c r="O136" s="11"/>
      <c r="P136" s="11"/>
    </row>
    <row r="137" spans="1:16" x14ac:dyDescent="0.25">
      <c r="A137" s="695">
        <v>56122</v>
      </c>
      <c r="B137" s="558">
        <v>1000</v>
      </c>
      <c r="C137" s="693">
        <v>100</v>
      </c>
      <c r="D137" s="558">
        <v>2200</v>
      </c>
      <c r="F137" s="11" t="s">
        <v>1279</v>
      </c>
      <c r="G137" s="698">
        <v>1136.94</v>
      </c>
      <c r="H137" s="12" t="s">
        <v>889</v>
      </c>
      <c r="I137" s="12" t="s">
        <v>893</v>
      </c>
      <c r="J137" s="12" t="s">
        <v>906</v>
      </c>
      <c r="K137" s="12" t="s">
        <v>891</v>
      </c>
      <c r="L137" s="12"/>
      <c r="M137" s="11"/>
      <c r="N137" s="11"/>
      <c r="O137" s="11"/>
      <c r="P137" s="11"/>
    </row>
    <row r="138" spans="1:16" x14ac:dyDescent="0.25">
      <c r="A138" s="695">
        <v>56122</v>
      </c>
      <c r="B138" s="558">
        <v>1000</v>
      </c>
      <c r="C138" s="693">
        <v>100</v>
      </c>
      <c r="D138" s="558">
        <v>2500</v>
      </c>
      <c r="F138" s="11" t="s">
        <v>1279</v>
      </c>
      <c r="G138" s="698">
        <v>233.97</v>
      </c>
      <c r="H138" s="12" t="s">
        <v>889</v>
      </c>
      <c r="I138" s="12" t="s">
        <v>893</v>
      </c>
      <c r="J138" s="12" t="s">
        <v>926</v>
      </c>
      <c r="K138" s="12" t="s">
        <v>891</v>
      </c>
      <c r="L138" s="12"/>
      <c r="M138" s="11"/>
      <c r="N138" s="11"/>
      <c r="O138" s="11"/>
      <c r="P138" s="11"/>
    </row>
    <row r="139" spans="1:16" x14ac:dyDescent="0.25">
      <c r="A139" s="695">
        <v>56122</v>
      </c>
      <c r="B139" s="558">
        <v>1000</v>
      </c>
      <c r="C139" s="693">
        <v>620</v>
      </c>
      <c r="D139" s="558">
        <v>1000</v>
      </c>
      <c r="F139" s="11" t="s">
        <v>1279</v>
      </c>
      <c r="G139" s="698">
        <v>2953.5</v>
      </c>
      <c r="H139" s="12" t="s">
        <v>889</v>
      </c>
      <c r="I139" s="12" t="s">
        <v>941</v>
      </c>
      <c r="J139" s="12" t="s">
        <v>894</v>
      </c>
      <c r="K139" s="12" t="s">
        <v>891</v>
      </c>
      <c r="L139" s="12"/>
      <c r="M139" s="11"/>
      <c r="N139" s="11"/>
      <c r="O139" s="11"/>
      <c r="P139" s="11"/>
    </row>
    <row r="140" spans="1:16" x14ac:dyDescent="0.25">
      <c r="A140" s="695">
        <v>56122</v>
      </c>
      <c r="B140" s="558">
        <v>1321</v>
      </c>
      <c r="C140" s="693">
        <v>100</v>
      </c>
      <c r="D140" s="558">
        <v>1000</v>
      </c>
      <c r="F140" s="11" t="s">
        <v>1279</v>
      </c>
      <c r="G140" s="698">
        <v>0</v>
      </c>
      <c r="H140" s="12" t="s">
        <v>968</v>
      </c>
      <c r="I140" s="12" t="s">
        <v>893</v>
      </c>
      <c r="J140" s="12" t="s">
        <v>894</v>
      </c>
      <c r="K140" s="12" t="s">
        <v>891</v>
      </c>
      <c r="L140" s="12"/>
      <c r="M140" s="11"/>
      <c r="N140" s="11"/>
      <c r="O140" s="11"/>
      <c r="P140" s="11"/>
    </row>
    <row r="141" spans="1:16" x14ac:dyDescent="0.25">
      <c r="A141" s="695">
        <v>56122</v>
      </c>
      <c r="B141" s="558">
        <v>1871</v>
      </c>
      <c r="C141" s="693">
        <v>615</v>
      </c>
      <c r="D141" s="558">
        <v>1000</v>
      </c>
      <c r="F141" s="11" t="s">
        <v>1279</v>
      </c>
      <c r="G141" s="698">
        <v>125</v>
      </c>
      <c r="H141" s="12" t="s">
        <v>997</v>
      </c>
      <c r="I141" s="12" t="s">
        <v>937</v>
      </c>
      <c r="J141" s="12" t="s">
        <v>894</v>
      </c>
      <c r="K141" s="12" t="s">
        <v>891</v>
      </c>
      <c r="L141" s="12"/>
      <c r="M141" s="11"/>
      <c r="N141" s="11"/>
      <c r="O141" s="11"/>
      <c r="P141" s="11"/>
    </row>
    <row r="142" spans="1:16" x14ac:dyDescent="0.25">
      <c r="A142" s="695">
        <v>56122</v>
      </c>
      <c r="B142" s="558">
        <v>1872</v>
      </c>
      <c r="C142" s="693">
        <v>615</v>
      </c>
      <c r="D142" s="558">
        <v>1000</v>
      </c>
      <c r="F142" s="11" t="s">
        <v>1279</v>
      </c>
      <c r="G142" s="698">
        <v>0</v>
      </c>
      <c r="H142" s="12" t="s">
        <v>997</v>
      </c>
      <c r="I142" s="12" t="s">
        <v>937</v>
      </c>
      <c r="J142" s="12" t="s">
        <v>894</v>
      </c>
      <c r="K142" s="12" t="s">
        <v>891</v>
      </c>
      <c r="L142" s="12"/>
      <c r="M142" s="11"/>
      <c r="N142" s="11"/>
      <c r="O142" s="11"/>
      <c r="P142" s="11"/>
    </row>
    <row r="143" spans="1:16" x14ac:dyDescent="0.25">
      <c r="A143" s="694">
        <v>56122</v>
      </c>
      <c r="B143" s="558">
        <v>1910</v>
      </c>
      <c r="C143" s="693">
        <v>615</v>
      </c>
      <c r="D143" s="558">
        <v>1000</v>
      </c>
      <c r="F143" s="11" t="s">
        <v>1279</v>
      </c>
      <c r="G143" s="698">
        <v>250</v>
      </c>
      <c r="H143" s="12" t="s">
        <v>997</v>
      </c>
      <c r="I143" s="12" t="s">
        <v>937</v>
      </c>
      <c r="J143" s="12" t="s">
        <v>894</v>
      </c>
      <c r="K143" s="12" t="s">
        <v>891</v>
      </c>
      <c r="L143" s="12"/>
      <c r="M143" s="11"/>
      <c r="N143" s="11"/>
      <c r="O143" s="11"/>
      <c r="P143" s="11"/>
    </row>
    <row r="144" spans="1:16" x14ac:dyDescent="0.25">
      <c r="A144" s="695">
        <v>56124</v>
      </c>
      <c r="B144" s="558">
        <v>1000</v>
      </c>
      <c r="C144" s="693">
        <v>100</v>
      </c>
      <c r="D144" s="558">
        <v>1000</v>
      </c>
      <c r="F144" s="11" t="s">
        <v>1280</v>
      </c>
      <c r="G144" s="698">
        <v>1617.04</v>
      </c>
      <c r="H144" s="12" t="s">
        <v>889</v>
      </c>
      <c r="I144" s="12" t="s">
        <v>893</v>
      </c>
      <c r="J144" s="12" t="s">
        <v>894</v>
      </c>
      <c r="K144" s="12" t="s">
        <v>891</v>
      </c>
      <c r="L144" s="12"/>
      <c r="M144" s="11"/>
      <c r="N144" s="11"/>
      <c r="O144" s="11"/>
      <c r="P144" s="11"/>
    </row>
    <row r="145" spans="1:16" x14ac:dyDescent="0.25">
      <c r="A145" s="694">
        <v>56124</v>
      </c>
      <c r="B145" s="558">
        <v>1000</v>
      </c>
      <c r="C145" s="693">
        <v>100</v>
      </c>
      <c r="D145" s="558">
        <v>2200</v>
      </c>
      <c r="F145" s="11" t="s">
        <v>1280</v>
      </c>
      <c r="G145" s="698">
        <v>45.7</v>
      </c>
      <c r="H145" s="12" t="s">
        <v>889</v>
      </c>
      <c r="I145" s="12" t="s">
        <v>893</v>
      </c>
      <c r="J145" s="12" t="s">
        <v>906</v>
      </c>
      <c r="K145" s="12" t="s">
        <v>891</v>
      </c>
      <c r="L145" s="12"/>
      <c r="M145" s="11"/>
      <c r="N145" s="11"/>
      <c r="O145" s="11"/>
      <c r="P145" s="11"/>
    </row>
    <row r="146" spans="1:16" x14ac:dyDescent="0.25">
      <c r="A146" s="695">
        <v>56152</v>
      </c>
      <c r="B146" s="558">
        <v>1000</v>
      </c>
      <c r="C146" s="693">
        <v>100</v>
      </c>
      <c r="D146" s="558">
        <v>1000</v>
      </c>
      <c r="F146" s="11" t="s">
        <v>1281</v>
      </c>
      <c r="G146" s="698">
        <v>149743.01</v>
      </c>
      <c r="H146" s="12" t="s">
        <v>889</v>
      </c>
      <c r="I146" s="12" t="s">
        <v>893</v>
      </c>
      <c r="J146" s="12" t="s">
        <v>894</v>
      </c>
      <c r="K146" s="12" t="s">
        <v>891</v>
      </c>
      <c r="L146" s="12"/>
      <c r="M146" s="11"/>
      <c r="N146" s="11"/>
      <c r="O146" s="11"/>
      <c r="P146" s="11"/>
    </row>
    <row r="147" spans="1:16" x14ac:dyDescent="0.25">
      <c r="A147" s="695">
        <v>56152</v>
      </c>
      <c r="B147" s="558">
        <v>1000</v>
      </c>
      <c r="C147" s="693">
        <v>260</v>
      </c>
      <c r="D147" s="558">
        <v>1000</v>
      </c>
      <c r="F147" s="11" t="s">
        <v>1281</v>
      </c>
      <c r="G147" s="698">
        <v>101.86</v>
      </c>
      <c r="H147" s="12" t="s">
        <v>889</v>
      </c>
      <c r="I147" s="12" t="s">
        <v>901</v>
      </c>
      <c r="J147" s="12" t="s">
        <v>894</v>
      </c>
      <c r="K147" s="12" t="s">
        <v>891</v>
      </c>
      <c r="L147" s="12"/>
      <c r="M147" s="11"/>
      <c r="N147" s="11"/>
      <c r="O147" s="11"/>
      <c r="P147" s="11"/>
    </row>
    <row r="148" spans="1:16" x14ac:dyDescent="0.25">
      <c r="A148" s="695">
        <v>56152</v>
      </c>
      <c r="B148" s="558">
        <v>1012</v>
      </c>
      <c r="C148" s="693">
        <v>100</v>
      </c>
      <c r="D148" s="558">
        <v>1000</v>
      </c>
      <c r="F148" s="11" t="s">
        <v>1281</v>
      </c>
      <c r="G148" s="698">
        <v>30177.74</v>
      </c>
      <c r="H148" s="12" t="s">
        <v>890</v>
      </c>
      <c r="I148" s="12" t="s">
        <v>893</v>
      </c>
      <c r="J148" s="12" t="s">
        <v>894</v>
      </c>
      <c r="K148" s="12" t="s">
        <v>891</v>
      </c>
      <c r="L148" s="12"/>
      <c r="M148" s="11"/>
      <c r="N148" s="11"/>
      <c r="O148" s="11"/>
      <c r="P148" s="11"/>
    </row>
    <row r="149" spans="1:16" x14ac:dyDescent="0.25">
      <c r="A149" s="695">
        <v>56152</v>
      </c>
      <c r="B149" s="558">
        <v>1012</v>
      </c>
      <c r="C149" s="693">
        <v>260</v>
      </c>
      <c r="D149" s="558">
        <v>1000</v>
      </c>
      <c r="F149" s="11" t="s">
        <v>1281</v>
      </c>
      <c r="G149" s="698">
        <v>966</v>
      </c>
      <c r="H149" s="12" t="s">
        <v>890</v>
      </c>
      <c r="I149" s="12" t="s">
        <v>901</v>
      </c>
      <c r="J149" s="12" t="s">
        <v>894</v>
      </c>
      <c r="K149" s="12" t="s">
        <v>891</v>
      </c>
      <c r="L149" s="12"/>
      <c r="M149" s="11"/>
      <c r="N149" s="11"/>
      <c r="O149" s="11"/>
      <c r="P149" s="11"/>
    </row>
    <row r="150" spans="1:16" x14ac:dyDescent="0.25">
      <c r="A150" s="695">
        <v>56152</v>
      </c>
      <c r="B150" s="558">
        <v>1321</v>
      </c>
      <c r="C150" s="693">
        <v>100</v>
      </c>
      <c r="D150" s="558">
        <v>1000</v>
      </c>
      <c r="F150" s="11" t="s">
        <v>1281</v>
      </c>
      <c r="G150" s="698">
        <v>28428</v>
      </c>
      <c r="H150" s="12" t="s">
        <v>968</v>
      </c>
      <c r="I150" s="12" t="s">
        <v>893</v>
      </c>
      <c r="J150" s="12" t="s">
        <v>894</v>
      </c>
      <c r="K150" s="12" t="s">
        <v>891</v>
      </c>
      <c r="L150" s="12"/>
      <c r="M150" s="11"/>
      <c r="N150" s="11"/>
      <c r="O150" s="11"/>
      <c r="P150" s="11"/>
    </row>
    <row r="151" spans="1:16" x14ac:dyDescent="0.25">
      <c r="A151" s="695">
        <v>56152</v>
      </c>
      <c r="B151" s="558" t="s">
        <v>1245</v>
      </c>
      <c r="C151" s="693">
        <v>100</v>
      </c>
      <c r="D151" s="558">
        <v>1000</v>
      </c>
      <c r="F151" s="11" t="s">
        <v>1281</v>
      </c>
      <c r="G151" s="698">
        <v>448.2</v>
      </c>
      <c r="H151" s="12" t="s">
        <v>904</v>
      </c>
      <c r="I151" s="12" t="s">
        <v>893</v>
      </c>
      <c r="J151" s="12" t="s">
        <v>894</v>
      </c>
      <c r="K151" s="12" t="s">
        <v>891</v>
      </c>
      <c r="L151" s="12"/>
      <c r="M151" s="11"/>
      <c r="N151" s="11"/>
      <c r="O151" s="11"/>
      <c r="P151" s="11"/>
    </row>
    <row r="152" spans="1:16" x14ac:dyDescent="0.25">
      <c r="A152" s="694">
        <v>56152</v>
      </c>
      <c r="B152" s="558" t="s">
        <v>1245</v>
      </c>
      <c r="C152" s="693">
        <v>260</v>
      </c>
      <c r="D152" s="558">
        <v>1000</v>
      </c>
      <c r="F152" s="11" t="s">
        <v>1281</v>
      </c>
      <c r="G152" s="698">
        <v>4930.21</v>
      </c>
      <c r="H152" s="12" t="s">
        <v>904</v>
      </c>
      <c r="I152" s="12" t="s">
        <v>901</v>
      </c>
      <c r="J152" s="12" t="s">
        <v>894</v>
      </c>
      <c r="K152" s="12" t="s">
        <v>891</v>
      </c>
      <c r="L152" s="12"/>
      <c r="M152" s="11"/>
      <c r="N152" s="11"/>
      <c r="O152" s="11"/>
      <c r="P152" s="11"/>
    </row>
    <row r="153" spans="1:16" x14ac:dyDescent="0.25">
      <c r="A153" s="695">
        <v>56162</v>
      </c>
      <c r="B153" s="558">
        <v>1000</v>
      </c>
      <c r="C153" s="693">
        <v>100</v>
      </c>
      <c r="D153" s="558">
        <v>1000</v>
      </c>
      <c r="F153" s="11" t="s">
        <v>1282</v>
      </c>
      <c r="G153" s="698">
        <v>2382</v>
      </c>
      <c r="H153" s="12" t="s">
        <v>889</v>
      </c>
      <c r="I153" s="12" t="s">
        <v>893</v>
      </c>
      <c r="J153" s="12" t="s">
        <v>894</v>
      </c>
      <c r="K153" s="12" t="s">
        <v>891</v>
      </c>
      <c r="L153" s="12"/>
      <c r="M153" s="11"/>
      <c r="N153" s="11"/>
      <c r="O153" s="11"/>
      <c r="P153" s="11"/>
    </row>
    <row r="154" spans="1:16" x14ac:dyDescent="0.25">
      <c r="A154" s="695">
        <v>56162</v>
      </c>
      <c r="B154" s="558">
        <v>1000</v>
      </c>
      <c r="C154" s="693">
        <v>100</v>
      </c>
      <c r="D154" s="558">
        <v>2500</v>
      </c>
      <c r="F154" s="11" t="s">
        <v>1282</v>
      </c>
      <c r="G154" s="698">
        <v>0.6</v>
      </c>
      <c r="H154" s="12" t="s">
        <v>889</v>
      </c>
      <c r="I154" s="12" t="s">
        <v>893</v>
      </c>
      <c r="J154" s="12" t="s">
        <v>926</v>
      </c>
      <c r="K154" s="12" t="s">
        <v>891</v>
      </c>
      <c r="L154" s="12"/>
      <c r="M154" s="11"/>
      <c r="N154" s="11"/>
      <c r="O154" s="11"/>
      <c r="P154" s="11"/>
    </row>
    <row r="155" spans="1:16" x14ac:dyDescent="0.25">
      <c r="A155" s="694">
        <v>56162</v>
      </c>
      <c r="B155" s="558">
        <v>1751</v>
      </c>
      <c r="C155" s="693">
        <v>620</v>
      </c>
      <c r="D155" s="558">
        <v>1000</v>
      </c>
      <c r="F155" s="11" t="s">
        <v>1282</v>
      </c>
      <c r="G155" s="698">
        <v>600</v>
      </c>
      <c r="H155" s="12" t="s">
        <v>997</v>
      </c>
      <c r="I155" s="12" t="s">
        <v>941</v>
      </c>
      <c r="J155" s="12" t="s">
        <v>894</v>
      </c>
      <c r="K155" s="12" t="s">
        <v>891</v>
      </c>
      <c r="L155" s="12"/>
      <c r="M155" s="11"/>
      <c r="N155" s="11"/>
      <c r="O155" s="11"/>
      <c r="P155" s="11"/>
    </row>
    <row r="156" spans="1:16" x14ac:dyDescent="0.25">
      <c r="A156" s="695">
        <v>56210</v>
      </c>
      <c r="B156" s="558">
        <v>1000</v>
      </c>
      <c r="C156" s="693">
        <v>100</v>
      </c>
      <c r="D156" s="558">
        <v>1000</v>
      </c>
      <c r="F156" s="11" t="s">
        <v>1283</v>
      </c>
      <c r="G156" s="698">
        <v>54878.91</v>
      </c>
      <c r="H156" s="12" t="s">
        <v>889</v>
      </c>
      <c r="I156" s="12" t="s">
        <v>893</v>
      </c>
      <c r="J156" s="12" t="s">
        <v>894</v>
      </c>
      <c r="K156" s="12" t="s">
        <v>895</v>
      </c>
      <c r="L156" s="12"/>
      <c r="M156" s="11"/>
      <c r="N156" s="11"/>
      <c r="O156" s="11"/>
      <c r="P156" s="11"/>
    </row>
    <row r="157" spans="1:16" x14ac:dyDescent="0.25">
      <c r="A157" s="695">
        <v>56210</v>
      </c>
      <c r="B157" s="558">
        <v>1000</v>
      </c>
      <c r="C157" s="693">
        <v>100</v>
      </c>
      <c r="D157" s="558">
        <v>2100</v>
      </c>
      <c r="F157" s="11" t="s">
        <v>1283</v>
      </c>
      <c r="G157" s="698">
        <v>5539.65</v>
      </c>
      <c r="H157" s="12" t="s">
        <v>889</v>
      </c>
      <c r="I157" s="12" t="s">
        <v>893</v>
      </c>
      <c r="J157" s="12" t="s">
        <v>902</v>
      </c>
      <c r="K157" s="12" t="s">
        <v>895</v>
      </c>
      <c r="L157" s="12"/>
      <c r="M157" s="11"/>
      <c r="N157" s="11"/>
      <c r="O157" s="11"/>
      <c r="P157" s="11"/>
    </row>
    <row r="158" spans="1:16" x14ac:dyDescent="0.25">
      <c r="A158" s="695">
        <v>56210</v>
      </c>
      <c r="B158" s="558">
        <v>1000</v>
      </c>
      <c r="C158" s="693">
        <v>100</v>
      </c>
      <c r="D158" s="558">
        <v>2110</v>
      </c>
      <c r="F158" s="11" t="s">
        <v>1283</v>
      </c>
      <c r="G158" s="698">
        <v>366.34</v>
      </c>
      <c r="H158" s="12" t="s">
        <v>889</v>
      </c>
      <c r="I158" s="12" t="s">
        <v>893</v>
      </c>
      <c r="J158" s="12" t="s">
        <v>902</v>
      </c>
      <c r="K158" s="12" t="s">
        <v>895</v>
      </c>
      <c r="L158" s="12"/>
      <c r="M158" s="11"/>
      <c r="N158" s="11"/>
      <c r="O158" s="11"/>
      <c r="P158" s="11"/>
    </row>
    <row r="159" spans="1:16" x14ac:dyDescent="0.25">
      <c r="A159" s="695">
        <v>56210</v>
      </c>
      <c r="B159" s="558">
        <v>1000</v>
      </c>
      <c r="C159" s="693">
        <v>100</v>
      </c>
      <c r="D159" s="558">
        <v>2200</v>
      </c>
      <c r="F159" s="11" t="s">
        <v>1283</v>
      </c>
      <c r="G159" s="698">
        <v>2285.54</v>
      </c>
      <c r="H159" s="12" t="s">
        <v>889</v>
      </c>
      <c r="I159" s="12" t="s">
        <v>893</v>
      </c>
      <c r="J159" s="12" t="s">
        <v>906</v>
      </c>
      <c r="K159" s="12" t="s">
        <v>895</v>
      </c>
      <c r="L159" s="12"/>
      <c r="M159" s="11"/>
      <c r="N159" s="11"/>
      <c r="O159" s="11"/>
      <c r="P159" s="11"/>
    </row>
    <row r="160" spans="1:16" x14ac:dyDescent="0.25">
      <c r="A160" s="695">
        <v>56210</v>
      </c>
      <c r="B160" s="558">
        <v>1000</v>
      </c>
      <c r="C160" s="693">
        <v>100</v>
      </c>
      <c r="D160" s="558">
        <v>2300</v>
      </c>
      <c r="F160" s="11" t="s">
        <v>1283</v>
      </c>
      <c r="G160" s="698">
        <v>188.68</v>
      </c>
      <c r="H160" s="12" t="s">
        <v>889</v>
      </c>
      <c r="I160" s="12" t="s">
        <v>893</v>
      </c>
      <c r="J160" s="12" t="s">
        <v>918</v>
      </c>
      <c r="K160" s="12" t="s">
        <v>895</v>
      </c>
      <c r="L160" s="12"/>
      <c r="M160" s="11"/>
      <c r="N160" s="11"/>
      <c r="O160" s="11"/>
      <c r="P160" s="11"/>
    </row>
    <row r="161" spans="1:16" x14ac:dyDescent="0.25">
      <c r="A161" s="695">
        <v>56210</v>
      </c>
      <c r="B161" s="558">
        <v>1000</v>
      </c>
      <c r="C161" s="693">
        <v>100</v>
      </c>
      <c r="D161" s="558">
        <v>2310</v>
      </c>
      <c r="F161" s="11" t="s">
        <v>1283</v>
      </c>
      <c r="G161" s="698">
        <v>183.55</v>
      </c>
      <c r="H161" s="12" t="s">
        <v>889</v>
      </c>
      <c r="I161" s="12" t="s">
        <v>893</v>
      </c>
      <c r="J161" s="12" t="s">
        <v>918</v>
      </c>
      <c r="K161" s="12" t="s">
        <v>895</v>
      </c>
      <c r="L161" s="12"/>
      <c r="M161" s="11"/>
      <c r="N161" s="11"/>
      <c r="O161" s="11"/>
      <c r="P161" s="11"/>
    </row>
    <row r="162" spans="1:16" x14ac:dyDescent="0.25">
      <c r="A162" s="695">
        <v>56210</v>
      </c>
      <c r="B162" s="558">
        <v>1000</v>
      </c>
      <c r="C162" s="693">
        <v>100</v>
      </c>
      <c r="D162" s="558">
        <v>2400</v>
      </c>
      <c r="F162" s="11" t="s">
        <v>1283</v>
      </c>
      <c r="G162" s="698">
        <v>5869.02</v>
      </c>
      <c r="H162" s="12" t="s">
        <v>889</v>
      </c>
      <c r="I162" s="12" t="s">
        <v>893</v>
      </c>
      <c r="J162" s="12" t="s">
        <v>922</v>
      </c>
      <c r="K162" s="12" t="s">
        <v>895</v>
      </c>
      <c r="L162" s="12"/>
      <c r="M162" s="11"/>
      <c r="N162" s="11"/>
      <c r="O162" s="11"/>
      <c r="P162" s="11"/>
    </row>
    <row r="163" spans="1:16" x14ac:dyDescent="0.25">
      <c r="A163" s="695">
        <v>56210</v>
      </c>
      <c r="B163" s="558">
        <v>1000</v>
      </c>
      <c r="C163" s="693">
        <v>100</v>
      </c>
      <c r="D163" s="558">
        <v>2410</v>
      </c>
      <c r="F163" s="11" t="s">
        <v>1283</v>
      </c>
      <c r="G163" s="698">
        <v>1057.83</v>
      </c>
      <c r="H163" s="12" t="s">
        <v>889</v>
      </c>
      <c r="I163" s="12" t="s">
        <v>893</v>
      </c>
      <c r="J163" s="12" t="s">
        <v>922</v>
      </c>
      <c r="K163" s="12" t="s">
        <v>895</v>
      </c>
      <c r="L163" s="12"/>
      <c r="M163" s="11"/>
      <c r="N163" s="11"/>
      <c r="O163" s="11"/>
      <c r="P163" s="11"/>
    </row>
    <row r="164" spans="1:16" x14ac:dyDescent="0.25">
      <c r="A164" s="695">
        <v>56210</v>
      </c>
      <c r="B164" s="558">
        <v>1000</v>
      </c>
      <c r="C164" s="693">
        <v>100</v>
      </c>
      <c r="D164" s="558">
        <v>2500</v>
      </c>
      <c r="F164" s="11" t="s">
        <v>1283</v>
      </c>
      <c r="G164" s="698">
        <v>189607.22</v>
      </c>
      <c r="H164" s="12" t="s">
        <v>889</v>
      </c>
      <c r="I164" s="12" t="s">
        <v>893</v>
      </c>
      <c r="J164" s="12" t="s">
        <v>926</v>
      </c>
      <c r="K164" s="12" t="s">
        <v>895</v>
      </c>
      <c r="L164" s="12"/>
      <c r="M164" s="11"/>
      <c r="N164" s="11"/>
      <c r="O164" s="11"/>
      <c r="P164" s="11"/>
    </row>
    <row r="165" spans="1:16" x14ac:dyDescent="0.25">
      <c r="A165" s="695">
        <v>56210</v>
      </c>
      <c r="B165" s="558">
        <v>1000</v>
      </c>
      <c r="C165" s="693">
        <v>100</v>
      </c>
      <c r="D165" s="558">
        <v>2510</v>
      </c>
      <c r="F165" s="11" t="s">
        <v>1283</v>
      </c>
      <c r="G165" s="698">
        <v>192.69</v>
      </c>
      <c r="H165" s="12" t="s">
        <v>889</v>
      </c>
      <c r="I165" s="12" t="s">
        <v>893</v>
      </c>
      <c r="J165" s="12" t="s">
        <v>926</v>
      </c>
      <c r="K165" s="12" t="s">
        <v>895</v>
      </c>
      <c r="L165" s="12"/>
      <c r="M165" s="11"/>
      <c r="N165" s="11"/>
      <c r="O165" s="11"/>
      <c r="P165" s="11"/>
    </row>
    <row r="166" spans="1:16" x14ac:dyDescent="0.25">
      <c r="A166" s="695">
        <v>56210</v>
      </c>
      <c r="B166" s="558">
        <v>1000</v>
      </c>
      <c r="C166" s="693">
        <v>100</v>
      </c>
      <c r="D166" s="558">
        <v>2600</v>
      </c>
      <c r="F166" s="11" t="s">
        <v>1283</v>
      </c>
      <c r="G166" s="698">
        <v>3036.59</v>
      </c>
      <c r="H166" s="12" t="s">
        <v>889</v>
      </c>
      <c r="I166" s="12" t="s">
        <v>893</v>
      </c>
      <c r="J166" s="12" t="s">
        <v>930</v>
      </c>
      <c r="K166" s="12" t="s">
        <v>895</v>
      </c>
      <c r="L166" s="12"/>
      <c r="M166" s="11"/>
      <c r="N166" s="11"/>
      <c r="O166" s="11"/>
      <c r="P166" s="11"/>
    </row>
    <row r="167" spans="1:16" x14ac:dyDescent="0.25">
      <c r="A167" s="695">
        <v>56210</v>
      </c>
      <c r="B167" s="558">
        <v>1000</v>
      </c>
      <c r="C167" s="693">
        <v>100</v>
      </c>
      <c r="D167" s="558">
        <v>2700</v>
      </c>
      <c r="F167" s="11" t="s">
        <v>1283</v>
      </c>
      <c r="G167" s="698">
        <v>-45.38</v>
      </c>
      <c r="H167" s="12" t="s">
        <v>889</v>
      </c>
      <c r="I167" s="12" t="s">
        <v>913</v>
      </c>
      <c r="J167" s="12" t="s">
        <v>934</v>
      </c>
      <c r="K167" s="12" t="s">
        <v>895</v>
      </c>
      <c r="L167" s="12"/>
      <c r="M167" s="11"/>
      <c r="N167" s="11"/>
      <c r="O167" s="11"/>
      <c r="P167" s="11"/>
    </row>
    <row r="168" spans="1:16" x14ac:dyDescent="0.25">
      <c r="A168" s="695">
        <v>56210</v>
      </c>
      <c r="B168" s="558">
        <v>1000</v>
      </c>
      <c r="C168" s="693">
        <v>100</v>
      </c>
      <c r="D168" s="558">
        <v>3100</v>
      </c>
      <c r="F168" s="11" t="s">
        <v>1283</v>
      </c>
      <c r="G168" s="698">
        <v>188.68</v>
      </c>
      <c r="H168" s="12" t="s">
        <v>889</v>
      </c>
      <c r="I168" s="12" t="s">
        <v>893</v>
      </c>
      <c r="J168" s="12" t="s">
        <v>942</v>
      </c>
      <c r="K168" s="12" t="s">
        <v>895</v>
      </c>
      <c r="L168" s="12"/>
      <c r="M168" s="11"/>
      <c r="N168" s="11"/>
      <c r="O168" s="11"/>
      <c r="P168" s="11"/>
    </row>
    <row r="169" spans="1:16" x14ac:dyDescent="0.25">
      <c r="A169" s="695">
        <v>56210</v>
      </c>
      <c r="B169" s="558">
        <v>1000</v>
      </c>
      <c r="C169" s="693">
        <v>200</v>
      </c>
      <c r="D169" s="558">
        <v>1000</v>
      </c>
      <c r="F169" s="11" t="s">
        <v>1283</v>
      </c>
      <c r="G169" s="698">
        <v>2080.88</v>
      </c>
      <c r="H169" s="12" t="s">
        <v>889</v>
      </c>
      <c r="I169" s="12" t="s">
        <v>897</v>
      </c>
      <c r="J169" s="12" t="s">
        <v>894</v>
      </c>
      <c r="K169" s="12" t="s">
        <v>895</v>
      </c>
      <c r="L169" s="12"/>
      <c r="M169" s="11"/>
      <c r="N169" s="11"/>
      <c r="O169" s="11"/>
      <c r="P169" s="11"/>
    </row>
    <row r="170" spans="1:16" x14ac:dyDescent="0.25">
      <c r="A170" s="695">
        <v>56210</v>
      </c>
      <c r="B170" s="558">
        <v>1000</v>
      </c>
      <c r="C170" s="693">
        <v>200</v>
      </c>
      <c r="D170" s="558">
        <v>2100</v>
      </c>
      <c r="F170" s="11" t="s">
        <v>1283</v>
      </c>
      <c r="G170" s="698">
        <v>149.71</v>
      </c>
      <c r="H170" s="12" t="s">
        <v>889</v>
      </c>
      <c r="I170" s="12" t="s">
        <v>897</v>
      </c>
      <c r="J170" s="12" t="s">
        <v>902</v>
      </c>
      <c r="K170" s="12" t="s">
        <v>895</v>
      </c>
      <c r="L170" s="12"/>
      <c r="M170" s="11"/>
      <c r="N170" s="11"/>
      <c r="O170" s="11"/>
      <c r="P170" s="11"/>
    </row>
    <row r="171" spans="1:16" x14ac:dyDescent="0.25">
      <c r="A171" s="695">
        <v>56210</v>
      </c>
      <c r="B171" s="558">
        <v>1000</v>
      </c>
      <c r="C171" s="693">
        <v>240</v>
      </c>
      <c r="D171" s="558">
        <v>1000</v>
      </c>
      <c r="F171" s="11" t="s">
        <v>1283</v>
      </c>
      <c r="G171" s="698">
        <v>152.99</v>
      </c>
      <c r="H171" s="12" t="s">
        <v>889</v>
      </c>
      <c r="I171" s="12" t="s">
        <v>897</v>
      </c>
      <c r="J171" s="12" t="s">
        <v>894</v>
      </c>
      <c r="K171" s="12" t="s">
        <v>895</v>
      </c>
      <c r="L171" s="12"/>
      <c r="M171" s="11"/>
      <c r="N171" s="11"/>
      <c r="O171" s="11"/>
      <c r="P171" s="11"/>
    </row>
    <row r="172" spans="1:16" x14ac:dyDescent="0.25">
      <c r="A172" s="695">
        <v>56210</v>
      </c>
      <c r="B172" s="558">
        <v>1000</v>
      </c>
      <c r="C172" s="693">
        <v>260</v>
      </c>
      <c r="D172" s="558">
        <v>1000</v>
      </c>
      <c r="F172" s="11" t="s">
        <v>1283</v>
      </c>
      <c r="G172" s="698">
        <v>30.01</v>
      </c>
      <c r="H172" s="12" t="s">
        <v>889</v>
      </c>
      <c r="I172" s="12" t="s">
        <v>901</v>
      </c>
      <c r="J172" s="12" t="s">
        <v>894</v>
      </c>
      <c r="K172" s="12" t="s">
        <v>895</v>
      </c>
      <c r="L172" s="12"/>
      <c r="M172" s="11"/>
      <c r="N172" s="11"/>
      <c r="O172" s="11"/>
      <c r="P172" s="11"/>
    </row>
    <row r="173" spans="1:16" x14ac:dyDescent="0.25">
      <c r="A173" s="695">
        <v>56210</v>
      </c>
      <c r="B173" s="558">
        <v>1000</v>
      </c>
      <c r="C173" s="693">
        <v>400</v>
      </c>
      <c r="D173" s="558">
        <v>2700</v>
      </c>
      <c r="F173" s="11" t="s">
        <v>1283</v>
      </c>
      <c r="G173" s="698">
        <v>44.46</v>
      </c>
      <c r="H173" s="12" t="s">
        <v>889</v>
      </c>
      <c r="I173" s="12" t="s">
        <v>913</v>
      </c>
      <c r="J173" s="12" t="s">
        <v>934</v>
      </c>
      <c r="K173" s="12" t="s">
        <v>895</v>
      </c>
      <c r="L173" s="12"/>
      <c r="M173" s="11"/>
      <c r="N173" s="11"/>
      <c r="O173" s="11"/>
      <c r="P173" s="11"/>
    </row>
    <row r="174" spans="1:16" x14ac:dyDescent="0.25">
      <c r="A174" s="695">
        <v>56210</v>
      </c>
      <c r="B174" s="558">
        <v>1190</v>
      </c>
      <c r="C174" s="693">
        <v>260</v>
      </c>
      <c r="D174" s="558">
        <v>1000</v>
      </c>
      <c r="F174" s="11" t="s">
        <v>1283</v>
      </c>
      <c r="G174" s="698">
        <v>2000</v>
      </c>
      <c r="H174" s="12" t="s">
        <v>920</v>
      </c>
      <c r="I174" s="12" t="s">
        <v>901</v>
      </c>
      <c r="J174" s="12" t="s">
        <v>894</v>
      </c>
      <c r="K174" s="12" t="s">
        <v>895</v>
      </c>
      <c r="L174" s="12"/>
      <c r="M174" s="11"/>
      <c r="N174" s="11"/>
      <c r="O174" s="11"/>
      <c r="P174" s="11"/>
    </row>
    <row r="175" spans="1:16" x14ac:dyDescent="0.25">
      <c r="A175" s="695">
        <v>56210</v>
      </c>
      <c r="B175" s="558">
        <v>1220</v>
      </c>
      <c r="C175" s="693">
        <v>200</v>
      </c>
      <c r="D175" s="558">
        <v>2100</v>
      </c>
      <c r="F175" s="11" t="s">
        <v>1283</v>
      </c>
      <c r="G175" s="698">
        <v>1573.85</v>
      </c>
      <c r="H175" s="12" t="s">
        <v>932</v>
      </c>
      <c r="I175" s="12" t="s">
        <v>897</v>
      </c>
      <c r="J175" s="12" t="s">
        <v>902</v>
      </c>
      <c r="K175" s="12" t="s">
        <v>895</v>
      </c>
      <c r="L175" s="12"/>
      <c r="M175" s="11"/>
      <c r="N175" s="11"/>
      <c r="O175" s="11"/>
      <c r="P175" s="11"/>
    </row>
    <row r="176" spans="1:16" x14ac:dyDescent="0.25">
      <c r="A176" s="695">
        <v>56210</v>
      </c>
      <c r="B176" s="558">
        <v>1321</v>
      </c>
      <c r="C176" s="693">
        <v>100</v>
      </c>
      <c r="D176" s="558">
        <v>1000</v>
      </c>
      <c r="F176" s="11" t="s">
        <v>1283</v>
      </c>
      <c r="G176" s="698">
        <v>18447.32</v>
      </c>
      <c r="H176" s="12" t="s">
        <v>968</v>
      </c>
      <c r="I176" s="12" t="s">
        <v>893</v>
      </c>
      <c r="J176" s="12" t="s">
        <v>894</v>
      </c>
      <c r="K176" s="12" t="s">
        <v>895</v>
      </c>
      <c r="L176" s="12"/>
      <c r="M176" s="11"/>
      <c r="N176" s="11"/>
      <c r="O176" s="11"/>
      <c r="P176" s="11"/>
    </row>
    <row r="177" spans="1:16" x14ac:dyDescent="0.25">
      <c r="A177" s="695">
        <v>56210</v>
      </c>
      <c r="B177" s="558">
        <v>1321</v>
      </c>
      <c r="C177" s="693">
        <v>100</v>
      </c>
      <c r="D177" s="558">
        <v>2100</v>
      </c>
      <c r="F177" s="11" t="s">
        <v>1283</v>
      </c>
      <c r="G177" s="698">
        <v>6215.29</v>
      </c>
      <c r="H177" s="12" t="s">
        <v>968</v>
      </c>
      <c r="I177" s="12" t="s">
        <v>893</v>
      </c>
      <c r="J177" s="12" t="s">
        <v>902</v>
      </c>
      <c r="K177" s="12" t="s">
        <v>895</v>
      </c>
      <c r="L177" s="12"/>
      <c r="M177" s="11"/>
      <c r="N177" s="11"/>
      <c r="O177" s="11"/>
      <c r="P177" s="11"/>
    </row>
    <row r="178" spans="1:16" x14ac:dyDescent="0.25">
      <c r="A178" s="695">
        <v>56210</v>
      </c>
      <c r="B178" s="558">
        <v>1321</v>
      </c>
      <c r="C178" s="693">
        <v>100</v>
      </c>
      <c r="D178" s="558">
        <v>2200</v>
      </c>
      <c r="F178" s="11" t="s">
        <v>1283</v>
      </c>
      <c r="G178" s="698">
        <v>1834.9</v>
      </c>
      <c r="H178" s="12" t="s">
        <v>968</v>
      </c>
      <c r="I178" s="12" t="s">
        <v>893</v>
      </c>
      <c r="J178" s="12" t="s">
        <v>906</v>
      </c>
      <c r="K178" s="12" t="s">
        <v>895</v>
      </c>
      <c r="L178" s="12"/>
      <c r="M178" s="11"/>
      <c r="N178" s="11"/>
      <c r="O178" s="11"/>
      <c r="P178" s="11"/>
    </row>
    <row r="179" spans="1:16" x14ac:dyDescent="0.25">
      <c r="A179" s="695">
        <v>56210</v>
      </c>
      <c r="B179" s="558">
        <v>1321</v>
      </c>
      <c r="C179" s="693">
        <v>200</v>
      </c>
      <c r="D179" s="558">
        <v>2100</v>
      </c>
      <c r="F179" s="11" t="s">
        <v>1283</v>
      </c>
      <c r="G179" s="698">
        <v>3558.95</v>
      </c>
      <c r="H179" s="12" t="s">
        <v>968</v>
      </c>
      <c r="I179" s="12" t="s">
        <v>897</v>
      </c>
      <c r="J179" s="12" t="s">
        <v>902</v>
      </c>
      <c r="K179" s="12" t="s">
        <v>895</v>
      </c>
      <c r="L179" s="12"/>
      <c r="M179" s="11"/>
      <c r="N179" s="11"/>
      <c r="O179" s="11"/>
      <c r="P179" s="11"/>
    </row>
    <row r="180" spans="1:16" x14ac:dyDescent="0.25">
      <c r="A180" s="695">
        <v>56210</v>
      </c>
      <c r="B180" s="558">
        <v>1321</v>
      </c>
      <c r="C180" s="693">
        <v>260</v>
      </c>
      <c r="D180" s="558">
        <v>1000</v>
      </c>
      <c r="F180" s="11" t="s">
        <v>1283</v>
      </c>
      <c r="G180" s="698">
        <v>498.22</v>
      </c>
      <c r="H180" s="12" t="s">
        <v>968</v>
      </c>
      <c r="I180" s="12" t="s">
        <v>901</v>
      </c>
      <c r="J180" s="12" t="s">
        <v>894</v>
      </c>
      <c r="K180" s="12" t="s">
        <v>895</v>
      </c>
      <c r="L180" s="12"/>
      <c r="M180" s="11"/>
      <c r="N180" s="11"/>
      <c r="O180" s="11"/>
      <c r="P180" s="11"/>
    </row>
    <row r="181" spans="1:16" x14ac:dyDescent="0.25">
      <c r="A181" s="695">
        <v>56210</v>
      </c>
      <c r="B181" s="558">
        <v>1322</v>
      </c>
      <c r="C181" s="693">
        <v>100</v>
      </c>
      <c r="D181" s="558">
        <v>2500</v>
      </c>
      <c r="F181" s="11" t="s">
        <v>1283</v>
      </c>
      <c r="G181" s="698">
        <v>0</v>
      </c>
      <c r="H181" s="12" t="s">
        <v>968</v>
      </c>
      <c r="I181" s="12" t="s">
        <v>893</v>
      </c>
      <c r="J181" s="12" t="s">
        <v>926</v>
      </c>
      <c r="K181" s="12" t="s">
        <v>895</v>
      </c>
      <c r="L181" s="12"/>
      <c r="M181" s="11"/>
      <c r="N181" s="11"/>
      <c r="O181" s="11"/>
      <c r="P181" s="11"/>
    </row>
    <row r="182" spans="1:16" x14ac:dyDescent="0.25">
      <c r="A182" s="695">
        <v>56210</v>
      </c>
      <c r="B182" s="558">
        <v>1534</v>
      </c>
      <c r="C182" s="693">
        <v>100</v>
      </c>
      <c r="D182" s="558">
        <v>2700</v>
      </c>
      <c r="F182" s="11" t="s">
        <v>1283</v>
      </c>
      <c r="G182" s="698">
        <v>46.63</v>
      </c>
      <c r="H182" s="12" t="s">
        <v>997</v>
      </c>
      <c r="I182" s="12" t="s">
        <v>913</v>
      </c>
      <c r="J182" s="12" t="s">
        <v>934</v>
      </c>
      <c r="K182" s="12" t="s">
        <v>895</v>
      </c>
      <c r="L182" s="12"/>
      <c r="M182" s="11"/>
      <c r="N182" s="11"/>
      <c r="O182" s="11"/>
      <c r="P182" s="11"/>
    </row>
    <row r="183" spans="1:16" x14ac:dyDescent="0.25">
      <c r="A183" s="695">
        <v>56210</v>
      </c>
      <c r="B183" s="558">
        <v>1534</v>
      </c>
      <c r="C183" s="693">
        <v>400</v>
      </c>
      <c r="D183" s="558">
        <v>2700</v>
      </c>
      <c r="F183" s="11" t="s">
        <v>1283</v>
      </c>
      <c r="G183" s="698">
        <v>-46.63</v>
      </c>
      <c r="H183" s="12" t="s">
        <v>997</v>
      </c>
      <c r="I183" s="12" t="s">
        <v>913</v>
      </c>
      <c r="J183" s="12" t="s">
        <v>934</v>
      </c>
      <c r="K183" s="12" t="s">
        <v>895</v>
      </c>
      <c r="L183" s="12"/>
      <c r="M183" s="11"/>
      <c r="N183" s="11"/>
      <c r="O183" s="11"/>
      <c r="P183" s="11"/>
    </row>
    <row r="184" spans="1:16" x14ac:dyDescent="0.25">
      <c r="A184" s="695">
        <v>56210</v>
      </c>
      <c r="B184" s="558">
        <v>1751</v>
      </c>
      <c r="C184" s="693">
        <v>620</v>
      </c>
      <c r="D184" s="558">
        <v>1000</v>
      </c>
      <c r="F184" s="11" t="s">
        <v>1283</v>
      </c>
      <c r="G184" s="698">
        <v>41.79</v>
      </c>
      <c r="H184" s="12" t="s">
        <v>997</v>
      </c>
      <c r="I184" s="12" t="s">
        <v>941</v>
      </c>
      <c r="J184" s="12" t="s">
        <v>894</v>
      </c>
      <c r="K184" s="12" t="s">
        <v>895</v>
      </c>
      <c r="L184" s="12"/>
      <c r="M184" s="11"/>
      <c r="N184" s="11"/>
      <c r="O184" s="11"/>
      <c r="P184" s="11"/>
    </row>
    <row r="185" spans="1:16" x14ac:dyDescent="0.25">
      <c r="A185" s="695">
        <v>56210</v>
      </c>
      <c r="B185" s="558">
        <v>1884</v>
      </c>
      <c r="C185" s="693">
        <v>100</v>
      </c>
      <c r="D185" s="558">
        <v>1000</v>
      </c>
      <c r="F185" s="11" t="s">
        <v>1283</v>
      </c>
      <c r="G185" s="698">
        <v>196.4</v>
      </c>
      <c r="H185" s="12" t="s">
        <v>997</v>
      </c>
      <c r="I185" s="12" t="s">
        <v>893</v>
      </c>
      <c r="J185" s="12" t="s">
        <v>894</v>
      </c>
      <c r="K185" s="12" t="s">
        <v>895</v>
      </c>
      <c r="L185" s="12"/>
      <c r="M185" s="11"/>
      <c r="N185" s="11"/>
      <c r="O185" s="11"/>
      <c r="P185" s="11"/>
    </row>
    <row r="186" spans="1:16" x14ac:dyDescent="0.25">
      <c r="A186" s="695">
        <v>56210</v>
      </c>
      <c r="B186" s="558" t="s">
        <v>1245</v>
      </c>
      <c r="C186" s="693">
        <v>100</v>
      </c>
      <c r="D186" s="558">
        <v>1000</v>
      </c>
      <c r="F186" s="11" t="s">
        <v>1283</v>
      </c>
      <c r="G186" s="698">
        <v>18513.560000000001</v>
      </c>
      <c r="H186" s="12" t="s">
        <v>904</v>
      </c>
      <c r="I186" s="12" t="s">
        <v>893</v>
      </c>
      <c r="J186" s="12" t="s">
        <v>894</v>
      </c>
      <c r="K186" s="12" t="s">
        <v>895</v>
      </c>
      <c r="L186" s="12"/>
      <c r="M186" s="11"/>
      <c r="N186" s="11"/>
      <c r="O186" s="11"/>
      <c r="P186" s="11"/>
    </row>
    <row r="187" spans="1:16" x14ac:dyDescent="0.25">
      <c r="A187" s="694">
        <v>56210</v>
      </c>
      <c r="B187" s="558" t="s">
        <v>1245</v>
      </c>
      <c r="C187" s="693">
        <v>260</v>
      </c>
      <c r="D187" s="558">
        <v>1000</v>
      </c>
      <c r="F187" s="11" t="s">
        <v>1283</v>
      </c>
      <c r="G187" s="698">
        <v>1129.75</v>
      </c>
      <c r="H187" s="12" t="s">
        <v>904</v>
      </c>
      <c r="I187" s="12" t="s">
        <v>901</v>
      </c>
      <c r="J187" s="12" t="s">
        <v>894</v>
      </c>
      <c r="K187" s="12" t="s">
        <v>895</v>
      </c>
      <c r="L187" s="12"/>
      <c r="M187" s="11"/>
      <c r="N187" s="11"/>
      <c r="O187" s="11"/>
      <c r="P187" s="11"/>
    </row>
    <row r="188" spans="1:16" x14ac:dyDescent="0.25">
      <c r="A188" s="695">
        <v>56211</v>
      </c>
      <c r="B188" s="558">
        <v>1000</v>
      </c>
      <c r="C188" s="693">
        <v>100</v>
      </c>
      <c r="D188" s="558">
        <v>1000</v>
      </c>
      <c r="F188" s="11" t="s">
        <v>1284</v>
      </c>
      <c r="G188" s="698">
        <v>7292.6</v>
      </c>
      <c r="H188" s="12" t="s">
        <v>889</v>
      </c>
      <c r="I188" s="12" t="s">
        <v>893</v>
      </c>
      <c r="J188" s="12" t="s">
        <v>894</v>
      </c>
      <c r="K188" s="12" t="s">
        <v>895</v>
      </c>
      <c r="L188" s="12"/>
      <c r="M188" s="11"/>
      <c r="N188" s="11"/>
      <c r="O188" s="11"/>
      <c r="P188" s="11"/>
    </row>
    <row r="189" spans="1:16" x14ac:dyDescent="0.25">
      <c r="A189" s="695">
        <v>56211</v>
      </c>
      <c r="B189" s="558">
        <v>1000</v>
      </c>
      <c r="C189" s="693">
        <v>100</v>
      </c>
      <c r="D189" s="558">
        <v>2100</v>
      </c>
      <c r="F189" s="11" t="s">
        <v>1284</v>
      </c>
      <c r="G189" s="698">
        <v>801.98</v>
      </c>
      <c r="H189" s="12" t="s">
        <v>889</v>
      </c>
      <c r="I189" s="12" t="s">
        <v>893</v>
      </c>
      <c r="J189" s="12" t="s">
        <v>902</v>
      </c>
      <c r="K189" s="12" t="s">
        <v>895</v>
      </c>
      <c r="L189" s="12"/>
      <c r="M189" s="11"/>
      <c r="N189" s="11"/>
      <c r="O189" s="11"/>
      <c r="P189" s="11"/>
    </row>
    <row r="190" spans="1:16" x14ac:dyDescent="0.25">
      <c r="A190" s="695">
        <v>56211</v>
      </c>
      <c r="B190" s="558">
        <v>1000</v>
      </c>
      <c r="C190" s="693">
        <v>100</v>
      </c>
      <c r="D190" s="558">
        <v>2200</v>
      </c>
      <c r="F190" s="11" t="s">
        <v>1284</v>
      </c>
      <c r="G190" s="698">
        <v>357.21</v>
      </c>
      <c r="H190" s="12" t="s">
        <v>889</v>
      </c>
      <c r="I190" s="12" t="s">
        <v>893</v>
      </c>
      <c r="J190" s="12" t="s">
        <v>906</v>
      </c>
      <c r="K190" s="12" t="s">
        <v>895</v>
      </c>
      <c r="L190" s="12"/>
      <c r="M190" s="11"/>
      <c r="N190" s="11"/>
      <c r="O190" s="11"/>
      <c r="P190" s="11"/>
    </row>
    <row r="191" spans="1:16" x14ac:dyDescent="0.25">
      <c r="A191" s="695">
        <v>56211</v>
      </c>
      <c r="B191" s="558">
        <v>1000</v>
      </c>
      <c r="C191" s="693">
        <v>100</v>
      </c>
      <c r="D191" s="558">
        <v>2300</v>
      </c>
      <c r="F191" s="11" t="s">
        <v>1284</v>
      </c>
      <c r="G191" s="698">
        <v>38.08</v>
      </c>
      <c r="H191" s="12" t="s">
        <v>889</v>
      </c>
      <c r="I191" s="12" t="s">
        <v>893</v>
      </c>
      <c r="J191" s="12" t="s">
        <v>918</v>
      </c>
      <c r="K191" s="12" t="s">
        <v>895</v>
      </c>
      <c r="L191" s="12"/>
      <c r="M191" s="11"/>
      <c r="N191" s="11"/>
      <c r="O191" s="11"/>
      <c r="P191" s="11"/>
    </row>
    <row r="192" spans="1:16" x14ac:dyDescent="0.25">
      <c r="A192" s="695">
        <v>56211</v>
      </c>
      <c r="B192" s="558">
        <v>1000</v>
      </c>
      <c r="C192" s="693">
        <v>100</v>
      </c>
      <c r="D192" s="558">
        <v>2310</v>
      </c>
      <c r="F192" s="11" t="s">
        <v>1284</v>
      </c>
      <c r="G192" s="698">
        <v>38.08</v>
      </c>
      <c r="H192" s="12" t="s">
        <v>889</v>
      </c>
      <c r="I192" s="12" t="s">
        <v>893</v>
      </c>
      <c r="J192" s="12" t="s">
        <v>918</v>
      </c>
      <c r="K192" s="12" t="s">
        <v>895</v>
      </c>
      <c r="L192" s="12"/>
      <c r="M192" s="11"/>
      <c r="N192" s="11"/>
      <c r="O192" s="11"/>
      <c r="P192" s="11"/>
    </row>
    <row r="193" spans="1:16" x14ac:dyDescent="0.25">
      <c r="A193" s="695">
        <v>56211</v>
      </c>
      <c r="B193" s="558">
        <v>1000</v>
      </c>
      <c r="C193" s="693">
        <v>100</v>
      </c>
      <c r="D193" s="558">
        <v>2400</v>
      </c>
      <c r="F193" s="11" t="s">
        <v>1284</v>
      </c>
      <c r="G193" s="698">
        <v>693.75</v>
      </c>
      <c r="H193" s="12" t="s">
        <v>889</v>
      </c>
      <c r="I193" s="12" t="s">
        <v>893</v>
      </c>
      <c r="J193" s="12" t="s">
        <v>922</v>
      </c>
      <c r="K193" s="12" t="s">
        <v>895</v>
      </c>
      <c r="L193" s="12"/>
      <c r="M193" s="11"/>
      <c r="N193" s="11"/>
      <c r="O193" s="11"/>
      <c r="P193" s="11"/>
    </row>
    <row r="194" spans="1:16" x14ac:dyDescent="0.25">
      <c r="A194" s="695">
        <v>56211</v>
      </c>
      <c r="B194" s="558">
        <v>1000</v>
      </c>
      <c r="C194" s="693">
        <v>100</v>
      </c>
      <c r="D194" s="558">
        <v>2410</v>
      </c>
      <c r="F194" s="11" t="s">
        <v>1284</v>
      </c>
      <c r="G194" s="698">
        <v>233.05</v>
      </c>
      <c r="H194" s="12" t="s">
        <v>889</v>
      </c>
      <c r="I194" s="12" t="s">
        <v>893</v>
      </c>
      <c r="J194" s="12" t="s">
        <v>922</v>
      </c>
      <c r="K194" s="12" t="s">
        <v>895</v>
      </c>
      <c r="L194" s="12"/>
      <c r="M194" s="11"/>
      <c r="N194" s="11"/>
      <c r="O194" s="11"/>
      <c r="P194" s="11"/>
    </row>
    <row r="195" spans="1:16" x14ac:dyDescent="0.25">
      <c r="A195" s="695">
        <v>56211</v>
      </c>
      <c r="B195" s="558">
        <v>1000</v>
      </c>
      <c r="C195" s="693">
        <v>100</v>
      </c>
      <c r="D195" s="558">
        <v>2500</v>
      </c>
      <c r="F195" s="11" t="s">
        <v>1284</v>
      </c>
      <c r="G195" s="698">
        <v>1643.99</v>
      </c>
      <c r="H195" s="12" t="s">
        <v>889</v>
      </c>
      <c r="I195" s="12" t="s">
        <v>893</v>
      </c>
      <c r="J195" s="12" t="s">
        <v>926</v>
      </c>
      <c r="K195" s="12" t="s">
        <v>895</v>
      </c>
      <c r="L195" s="12"/>
      <c r="M195" s="11"/>
      <c r="N195" s="11"/>
      <c r="O195" s="11"/>
      <c r="P195" s="11"/>
    </row>
    <row r="196" spans="1:16" x14ac:dyDescent="0.25">
      <c r="A196" s="695">
        <v>56211</v>
      </c>
      <c r="B196" s="558">
        <v>1000</v>
      </c>
      <c r="C196" s="693">
        <v>100</v>
      </c>
      <c r="D196" s="558">
        <v>2510</v>
      </c>
      <c r="F196" s="11" t="s">
        <v>1284</v>
      </c>
      <c r="G196" s="698">
        <v>24.37</v>
      </c>
      <c r="H196" s="12" t="s">
        <v>889</v>
      </c>
      <c r="I196" s="12" t="s">
        <v>893</v>
      </c>
      <c r="J196" s="12" t="s">
        <v>926</v>
      </c>
      <c r="K196" s="12" t="s">
        <v>895</v>
      </c>
      <c r="L196" s="12"/>
      <c r="M196" s="11"/>
      <c r="N196" s="11"/>
      <c r="O196" s="11"/>
      <c r="P196" s="11"/>
    </row>
    <row r="197" spans="1:16" x14ac:dyDescent="0.25">
      <c r="A197" s="695">
        <v>56211</v>
      </c>
      <c r="B197" s="558">
        <v>1000</v>
      </c>
      <c r="C197" s="693">
        <v>100</v>
      </c>
      <c r="D197" s="558">
        <v>2600</v>
      </c>
      <c r="F197" s="11" t="s">
        <v>1284</v>
      </c>
      <c r="G197" s="698">
        <v>380.6</v>
      </c>
      <c r="H197" s="12" t="s">
        <v>889</v>
      </c>
      <c r="I197" s="12" t="s">
        <v>893</v>
      </c>
      <c r="J197" s="12" t="s">
        <v>930</v>
      </c>
      <c r="K197" s="12" t="s">
        <v>895</v>
      </c>
      <c r="L197" s="12"/>
      <c r="M197" s="11"/>
      <c r="N197" s="11"/>
      <c r="O197" s="11"/>
      <c r="P197" s="11"/>
    </row>
    <row r="198" spans="1:16" x14ac:dyDescent="0.25">
      <c r="A198" s="695">
        <v>56211</v>
      </c>
      <c r="B198" s="558">
        <v>1000</v>
      </c>
      <c r="C198" s="693">
        <v>100</v>
      </c>
      <c r="D198" s="558">
        <v>2700</v>
      </c>
      <c r="F198" s="11" t="s">
        <v>1284</v>
      </c>
      <c r="G198" s="698">
        <v>0.21</v>
      </c>
      <c r="H198" s="12" t="s">
        <v>889</v>
      </c>
      <c r="I198" s="12" t="s">
        <v>913</v>
      </c>
      <c r="J198" s="12" t="s">
        <v>934</v>
      </c>
      <c r="K198" s="12" t="s">
        <v>895</v>
      </c>
      <c r="L198" s="12"/>
      <c r="M198" s="11"/>
      <c r="N198" s="11"/>
      <c r="O198" s="11"/>
      <c r="P198" s="11"/>
    </row>
    <row r="199" spans="1:16" x14ac:dyDescent="0.25">
      <c r="A199" s="695">
        <v>56211</v>
      </c>
      <c r="B199" s="558">
        <v>1000</v>
      </c>
      <c r="C199" s="693">
        <v>100</v>
      </c>
      <c r="D199" s="558">
        <v>3100</v>
      </c>
      <c r="F199" s="11" t="s">
        <v>1284</v>
      </c>
      <c r="G199" s="698">
        <v>38.08</v>
      </c>
      <c r="H199" s="12" t="s">
        <v>889</v>
      </c>
      <c r="I199" s="12" t="s">
        <v>893</v>
      </c>
      <c r="J199" s="12" t="s">
        <v>942</v>
      </c>
      <c r="K199" s="12" t="s">
        <v>895</v>
      </c>
      <c r="L199" s="12"/>
      <c r="M199" s="11"/>
      <c r="N199" s="11"/>
      <c r="O199" s="11"/>
      <c r="P199" s="11"/>
    </row>
    <row r="200" spans="1:16" x14ac:dyDescent="0.25">
      <c r="A200" s="695">
        <v>56211</v>
      </c>
      <c r="B200" s="558">
        <v>1000</v>
      </c>
      <c r="C200" s="693">
        <v>200</v>
      </c>
      <c r="D200" s="558">
        <v>1000</v>
      </c>
      <c r="F200" s="11" t="s">
        <v>1284</v>
      </c>
      <c r="G200" s="698">
        <v>36.56</v>
      </c>
      <c r="H200" s="12" t="s">
        <v>889</v>
      </c>
      <c r="I200" s="12" t="s">
        <v>897</v>
      </c>
      <c r="J200" s="12" t="s">
        <v>894</v>
      </c>
      <c r="K200" s="12" t="s">
        <v>895</v>
      </c>
      <c r="L200" s="12"/>
      <c r="M200" s="11"/>
      <c r="N200" s="11"/>
      <c r="O200" s="11"/>
      <c r="P200" s="11"/>
    </row>
    <row r="201" spans="1:16" x14ac:dyDescent="0.25">
      <c r="A201" s="695">
        <v>56211</v>
      </c>
      <c r="B201" s="558">
        <v>1000</v>
      </c>
      <c r="C201" s="693">
        <v>200</v>
      </c>
      <c r="D201" s="558">
        <v>2100</v>
      </c>
      <c r="F201" s="11" t="s">
        <v>1284</v>
      </c>
      <c r="G201" s="698">
        <v>8.25</v>
      </c>
      <c r="H201" s="12" t="s">
        <v>889</v>
      </c>
      <c r="I201" s="12" t="s">
        <v>897</v>
      </c>
      <c r="J201" s="12" t="s">
        <v>902</v>
      </c>
      <c r="K201" s="12" t="s">
        <v>895</v>
      </c>
      <c r="L201" s="12"/>
      <c r="M201" s="11"/>
      <c r="N201" s="11"/>
      <c r="O201" s="11"/>
      <c r="P201" s="11"/>
    </row>
    <row r="202" spans="1:16" x14ac:dyDescent="0.25">
      <c r="A202" s="695">
        <v>56211</v>
      </c>
      <c r="B202" s="558">
        <v>1000</v>
      </c>
      <c r="C202" s="693">
        <v>240</v>
      </c>
      <c r="D202" s="558">
        <v>1000</v>
      </c>
      <c r="F202" s="11" t="s">
        <v>1284</v>
      </c>
      <c r="G202" s="698">
        <v>33.51</v>
      </c>
      <c r="H202" s="12" t="s">
        <v>889</v>
      </c>
      <c r="I202" s="12" t="s">
        <v>897</v>
      </c>
      <c r="J202" s="12" t="s">
        <v>894</v>
      </c>
      <c r="K202" s="12" t="s">
        <v>895</v>
      </c>
      <c r="L202" s="12"/>
      <c r="M202" s="11"/>
      <c r="N202" s="11"/>
      <c r="O202" s="11"/>
      <c r="P202" s="11"/>
    </row>
    <row r="203" spans="1:16" x14ac:dyDescent="0.25">
      <c r="A203" s="695">
        <v>56211</v>
      </c>
      <c r="B203" s="558">
        <v>1000</v>
      </c>
      <c r="C203" s="693">
        <v>400</v>
      </c>
      <c r="D203" s="558">
        <v>2700</v>
      </c>
      <c r="F203" s="11" t="s">
        <v>1284</v>
      </c>
      <c r="G203" s="698">
        <v>0.17</v>
      </c>
      <c r="H203" s="12" t="s">
        <v>889</v>
      </c>
      <c r="I203" s="12" t="s">
        <v>913</v>
      </c>
      <c r="J203" s="12" t="s">
        <v>934</v>
      </c>
      <c r="K203" s="12" t="s">
        <v>895</v>
      </c>
      <c r="L203" s="12"/>
      <c r="M203" s="11"/>
      <c r="N203" s="11"/>
      <c r="O203" s="11"/>
      <c r="P203" s="11"/>
    </row>
    <row r="204" spans="1:16" x14ac:dyDescent="0.25">
      <c r="A204" s="695">
        <v>56211</v>
      </c>
      <c r="B204" s="558">
        <v>1220</v>
      </c>
      <c r="C204" s="693">
        <v>200</v>
      </c>
      <c r="D204" s="558">
        <v>2100</v>
      </c>
      <c r="F204" s="11" t="s">
        <v>1284</v>
      </c>
      <c r="G204" s="698">
        <v>198</v>
      </c>
      <c r="H204" s="12" t="s">
        <v>932</v>
      </c>
      <c r="I204" s="12" t="s">
        <v>897</v>
      </c>
      <c r="J204" s="12" t="s">
        <v>902</v>
      </c>
      <c r="K204" s="12" t="s">
        <v>895</v>
      </c>
      <c r="L204" s="12"/>
      <c r="M204" s="11"/>
      <c r="N204" s="11"/>
      <c r="O204" s="11"/>
      <c r="P204" s="11"/>
    </row>
    <row r="205" spans="1:16" x14ac:dyDescent="0.25">
      <c r="A205" s="695">
        <v>56211</v>
      </c>
      <c r="B205" s="558">
        <v>1321</v>
      </c>
      <c r="C205" s="693">
        <v>100</v>
      </c>
      <c r="D205" s="558">
        <v>1000</v>
      </c>
      <c r="F205" s="11" t="s">
        <v>1284</v>
      </c>
      <c r="G205" s="698">
        <v>1480.59</v>
      </c>
      <c r="H205" s="12" t="s">
        <v>968</v>
      </c>
      <c r="I205" s="12" t="s">
        <v>893</v>
      </c>
      <c r="J205" s="12" t="s">
        <v>894</v>
      </c>
      <c r="K205" s="12" t="s">
        <v>895</v>
      </c>
      <c r="L205" s="12"/>
      <c r="M205" s="11"/>
      <c r="N205" s="11"/>
      <c r="O205" s="11"/>
      <c r="P205" s="11"/>
    </row>
    <row r="206" spans="1:16" x14ac:dyDescent="0.25">
      <c r="A206" s="695">
        <v>56211</v>
      </c>
      <c r="B206" s="558">
        <v>1321</v>
      </c>
      <c r="C206" s="693">
        <v>100</v>
      </c>
      <c r="D206" s="558">
        <v>2100</v>
      </c>
      <c r="F206" s="11" t="s">
        <v>1284</v>
      </c>
      <c r="G206" s="698">
        <v>372</v>
      </c>
      <c r="H206" s="12" t="s">
        <v>968</v>
      </c>
      <c r="I206" s="12" t="s">
        <v>893</v>
      </c>
      <c r="J206" s="12" t="s">
        <v>902</v>
      </c>
      <c r="K206" s="12" t="s">
        <v>895</v>
      </c>
      <c r="L206" s="12"/>
      <c r="M206" s="11"/>
      <c r="N206" s="11"/>
      <c r="O206" s="11"/>
      <c r="P206" s="11"/>
    </row>
    <row r="207" spans="1:16" x14ac:dyDescent="0.25">
      <c r="A207" s="695">
        <v>56211</v>
      </c>
      <c r="B207" s="558">
        <v>1321</v>
      </c>
      <c r="C207" s="693">
        <v>100</v>
      </c>
      <c r="D207" s="558">
        <v>2200</v>
      </c>
      <c r="F207" s="11" t="s">
        <v>1284</v>
      </c>
      <c r="G207" s="698">
        <v>150</v>
      </c>
      <c r="H207" s="12" t="s">
        <v>968</v>
      </c>
      <c r="I207" s="12" t="s">
        <v>893</v>
      </c>
      <c r="J207" s="12" t="s">
        <v>906</v>
      </c>
      <c r="K207" s="12" t="s">
        <v>895</v>
      </c>
      <c r="L207" s="12"/>
      <c r="M207" s="11"/>
      <c r="N207" s="11"/>
      <c r="O207" s="11"/>
      <c r="P207" s="11"/>
    </row>
    <row r="208" spans="1:16" x14ac:dyDescent="0.25">
      <c r="A208" s="695">
        <v>56211</v>
      </c>
      <c r="B208" s="558">
        <v>1321</v>
      </c>
      <c r="C208" s="693">
        <v>200</v>
      </c>
      <c r="D208" s="558">
        <v>2100</v>
      </c>
      <c r="F208" s="11" t="s">
        <v>1284</v>
      </c>
      <c r="G208" s="698">
        <v>198</v>
      </c>
      <c r="H208" s="12" t="s">
        <v>968</v>
      </c>
      <c r="I208" s="12" t="s">
        <v>897</v>
      </c>
      <c r="J208" s="12" t="s">
        <v>902</v>
      </c>
      <c r="K208" s="12" t="s">
        <v>895</v>
      </c>
      <c r="L208" s="12"/>
      <c r="M208" s="11"/>
      <c r="N208" s="11"/>
      <c r="O208" s="11"/>
      <c r="P208" s="11"/>
    </row>
    <row r="209" spans="1:16" x14ac:dyDescent="0.25">
      <c r="A209" s="695">
        <v>56211</v>
      </c>
      <c r="B209" s="558">
        <v>1884</v>
      </c>
      <c r="C209" s="693">
        <v>100</v>
      </c>
      <c r="D209" s="558">
        <v>1000</v>
      </c>
      <c r="F209" s="11" t="s">
        <v>1284</v>
      </c>
      <c r="G209" s="698">
        <v>80</v>
      </c>
      <c r="H209" s="12" t="s">
        <v>997</v>
      </c>
      <c r="I209" s="12" t="s">
        <v>893</v>
      </c>
      <c r="J209" s="12" t="s">
        <v>894</v>
      </c>
      <c r="K209" s="12" t="s">
        <v>895</v>
      </c>
      <c r="L209" s="12"/>
      <c r="M209" s="11"/>
      <c r="N209" s="11"/>
      <c r="O209" s="11"/>
      <c r="P209" s="11"/>
    </row>
    <row r="210" spans="1:16" x14ac:dyDescent="0.25">
      <c r="A210" s="694">
        <v>56211</v>
      </c>
      <c r="B210" s="558" t="s">
        <v>1245</v>
      </c>
      <c r="C210" s="693">
        <v>100</v>
      </c>
      <c r="D210" s="558">
        <v>1000</v>
      </c>
      <c r="F210" s="11" t="s">
        <v>1284</v>
      </c>
      <c r="G210" s="698">
        <v>1588.21</v>
      </c>
      <c r="H210" s="12" t="s">
        <v>904</v>
      </c>
      <c r="I210" s="12" t="s">
        <v>893</v>
      </c>
      <c r="J210" s="12" t="s">
        <v>894</v>
      </c>
      <c r="K210" s="12" t="s">
        <v>895</v>
      </c>
      <c r="L210" s="12"/>
      <c r="M210" s="11"/>
      <c r="N210" s="11"/>
      <c r="O210" s="11"/>
      <c r="P210" s="11"/>
    </row>
    <row r="211" spans="1:16" x14ac:dyDescent="0.25">
      <c r="A211" s="695">
        <v>56212</v>
      </c>
      <c r="B211" s="558">
        <v>1000</v>
      </c>
      <c r="C211" s="693">
        <v>100</v>
      </c>
      <c r="D211" s="558">
        <v>1000</v>
      </c>
      <c r="F211" s="11" t="s">
        <v>1285</v>
      </c>
      <c r="G211" s="698">
        <v>1398.09</v>
      </c>
      <c r="H211" s="12" t="s">
        <v>889</v>
      </c>
      <c r="I211" s="12" t="s">
        <v>893</v>
      </c>
      <c r="J211" s="12" t="s">
        <v>894</v>
      </c>
      <c r="K211" s="12" t="s">
        <v>895</v>
      </c>
      <c r="L211" s="12"/>
      <c r="M211" s="11"/>
      <c r="N211" s="11"/>
      <c r="O211" s="11"/>
      <c r="P211" s="11"/>
    </row>
    <row r="212" spans="1:16" x14ac:dyDescent="0.25">
      <c r="A212" s="695">
        <v>56212</v>
      </c>
      <c r="B212" s="558">
        <v>1000</v>
      </c>
      <c r="C212" s="693">
        <v>100</v>
      </c>
      <c r="D212" s="558">
        <v>2100</v>
      </c>
      <c r="F212" s="11" t="s">
        <v>1285</v>
      </c>
      <c r="G212" s="698">
        <v>142.04</v>
      </c>
      <c r="H212" s="12" t="s">
        <v>889</v>
      </c>
      <c r="I212" s="12" t="s">
        <v>893</v>
      </c>
      <c r="J212" s="12" t="s">
        <v>902</v>
      </c>
      <c r="K212" s="12" t="s">
        <v>895</v>
      </c>
      <c r="L212" s="12"/>
      <c r="M212" s="11"/>
      <c r="N212" s="11"/>
      <c r="O212" s="11"/>
      <c r="P212" s="11"/>
    </row>
    <row r="213" spans="1:16" x14ac:dyDescent="0.25">
      <c r="A213" s="695">
        <v>56212</v>
      </c>
      <c r="B213" s="558">
        <v>1000</v>
      </c>
      <c r="C213" s="693">
        <v>100</v>
      </c>
      <c r="D213" s="558">
        <v>2110</v>
      </c>
      <c r="F213" s="11" t="s">
        <v>1285</v>
      </c>
      <c r="G213" s="698">
        <v>9.14</v>
      </c>
      <c r="H213" s="12" t="s">
        <v>889</v>
      </c>
      <c r="I213" s="12" t="s">
        <v>893</v>
      </c>
      <c r="J213" s="12" t="s">
        <v>902</v>
      </c>
      <c r="K213" s="12" t="s">
        <v>895</v>
      </c>
      <c r="L213" s="12"/>
      <c r="M213" s="11"/>
      <c r="N213" s="11"/>
      <c r="O213" s="11"/>
      <c r="P213" s="11"/>
    </row>
    <row r="214" spans="1:16" x14ac:dyDescent="0.25">
      <c r="A214" s="695">
        <v>56212</v>
      </c>
      <c r="B214" s="558">
        <v>1000</v>
      </c>
      <c r="C214" s="693">
        <v>100</v>
      </c>
      <c r="D214" s="558">
        <v>2200</v>
      </c>
      <c r="F214" s="11" t="s">
        <v>1285</v>
      </c>
      <c r="G214" s="698">
        <v>52</v>
      </c>
      <c r="H214" s="12" t="s">
        <v>889</v>
      </c>
      <c r="I214" s="12" t="s">
        <v>893</v>
      </c>
      <c r="J214" s="12" t="s">
        <v>906</v>
      </c>
      <c r="K214" s="12" t="s">
        <v>895</v>
      </c>
      <c r="L214" s="12"/>
      <c r="M214" s="11"/>
      <c r="N214" s="11"/>
      <c r="O214" s="11"/>
      <c r="P214" s="11"/>
    </row>
    <row r="215" spans="1:16" x14ac:dyDescent="0.25">
      <c r="A215" s="695">
        <v>56212</v>
      </c>
      <c r="B215" s="558">
        <v>1000</v>
      </c>
      <c r="C215" s="693">
        <v>100</v>
      </c>
      <c r="D215" s="558">
        <v>2300</v>
      </c>
      <c r="F215" s="11" t="s">
        <v>1285</v>
      </c>
      <c r="G215" s="698">
        <v>4.57</v>
      </c>
      <c r="H215" s="12" t="s">
        <v>889</v>
      </c>
      <c r="I215" s="12" t="s">
        <v>893</v>
      </c>
      <c r="J215" s="12" t="s">
        <v>918</v>
      </c>
      <c r="K215" s="12" t="s">
        <v>895</v>
      </c>
      <c r="L215" s="12"/>
      <c r="M215" s="11"/>
      <c r="N215" s="11"/>
      <c r="O215" s="11"/>
      <c r="P215" s="11"/>
    </row>
    <row r="216" spans="1:16" x14ac:dyDescent="0.25">
      <c r="A216" s="695">
        <v>56212</v>
      </c>
      <c r="B216" s="558">
        <v>1000</v>
      </c>
      <c r="C216" s="693">
        <v>100</v>
      </c>
      <c r="D216" s="558">
        <v>2310</v>
      </c>
      <c r="F216" s="11" t="s">
        <v>1285</v>
      </c>
      <c r="G216" s="698">
        <v>4.57</v>
      </c>
      <c r="H216" s="12" t="s">
        <v>889</v>
      </c>
      <c r="I216" s="12" t="s">
        <v>893</v>
      </c>
      <c r="J216" s="12" t="s">
        <v>918</v>
      </c>
      <c r="K216" s="12" t="s">
        <v>895</v>
      </c>
      <c r="L216" s="12"/>
      <c r="M216" s="11"/>
      <c r="N216" s="11"/>
      <c r="O216" s="11"/>
      <c r="P216" s="11"/>
    </row>
    <row r="217" spans="1:16" x14ac:dyDescent="0.25">
      <c r="A217" s="695">
        <v>56212</v>
      </c>
      <c r="B217" s="558">
        <v>1000</v>
      </c>
      <c r="C217" s="693">
        <v>100</v>
      </c>
      <c r="D217" s="558">
        <v>2400</v>
      </c>
      <c r="F217" s="11" t="s">
        <v>1285</v>
      </c>
      <c r="G217" s="698">
        <v>167.1</v>
      </c>
      <c r="H217" s="12" t="s">
        <v>889</v>
      </c>
      <c r="I217" s="12" t="s">
        <v>893</v>
      </c>
      <c r="J217" s="12" t="s">
        <v>922</v>
      </c>
      <c r="K217" s="12" t="s">
        <v>895</v>
      </c>
      <c r="L217" s="12"/>
      <c r="M217" s="11"/>
      <c r="N217" s="11"/>
      <c r="O217" s="11"/>
      <c r="P217" s="11"/>
    </row>
    <row r="218" spans="1:16" x14ac:dyDescent="0.25">
      <c r="A218" s="695">
        <v>56212</v>
      </c>
      <c r="B218" s="558">
        <v>1000</v>
      </c>
      <c r="C218" s="693">
        <v>100</v>
      </c>
      <c r="D218" s="558">
        <v>2410</v>
      </c>
      <c r="F218" s="11" t="s">
        <v>1285</v>
      </c>
      <c r="G218" s="698">
        <v>26.36</v>
      </c>
      <c r="H218" s="12" t="s">
        <v>889</v>
      </c>
      <c r="I218" s="12" t="s">
        <v>893</v>
      </c>
      <c r="J218" s="12" t="s">
        <v>922</v>
      </c>
      <c r="K218" s="12" t="s">
        <v>895</v>
      </c>
      <c r="L218" s="12"/>
      <c r="M218" s="11"/>
      <c r="N218" s="11"/>
      <c r="O218" s="11"/>
      <c r="P218" s="11"/>
    </row>
    <row r="219" spans="1:16" x14ac:dyDescent="0.25">
      <c r="A219" s="695">
        <v>56212</v>
      </c>
      <c r="B219" s="558">
        <v>1000</v>
      </c>
      <c r="C219" s="693">
        <v>100</v>
      </c>
      <c r="D219" s="558">
        <v>2500</v>
      </c>
      <c r="F219" s="11" t="s">
        <v>1285</v>
      </c>
      <c r="G219" s="698">
        <v>-284.75</v>
      </c>
      <c r="H219" s="12" t="s">
        <v>889</v>
      </c>
      <c r="I219" s="12" t="s">
        <v>893</v>
      </c>
      <c r="J219" s="12" t="s">
        <v>926</v>
      </c>
      <c r="K219" s="12" t="s">
        <v>895</v>
      </c>
      <c r="L219" s="12"/>
      <c r="M219" s="11"/>
      <c r="N219" s="11"/>
      <c r="O219" s="11"/>
      <c r="P219" s="11"/>
    </row>
    <row r="220" spans="1:16" x14ac:dyDescent="0.25">
      <c r="A220" s="695">
        <v>56212</v>
      </c>
      <c r="B220" s="558">
        <v>1000</v>
      </c>
      <c r="C220" s="693">
        <v>100</v>
      </c>
      <c r="D220" s="558">
        <v>2510</v>
      </c>
      <c r="F220" s="11" t="s">
        <v>1285</v>
      </c>
      <c r="G220" s="698">
        <v>4.75</v>
      </c>
      <c r="H220" s="12" t="s">
        <v>889</v>
      </c>
      <c r="I220" s="12" t="s">
        <v>893</v>
      </c>
      <c r="J220" s="12" t="s">
        <v>926</v>
      </c>
      <c r="K220" s="12" t="s">
        <v>895</v>
      </c>
      <c r="L220" s="12"/>
      <c r="M220" s="11"/>
      <c r="N220" s="11"/>
      <c r="O220" s="11"/>
      <c r="P220" s="11"/>
    </row>
    <row r="221" spans="1:16" x14ac:dyDescent="0.25">
      <c r="A221" s="695">
        <v>56212</v>
      </c>
      <c r="B221" s="558">
        <v>1000</v>
      </c>
      <c r="C221" s="693">
        <v>100</v>
      </c>
      <c r="D221" s="558">
        <v>2600</v>
      </c>
      <c r="F221" s="11" t="s">
        <v>1285</v>
      </c>
      <c r="G221" s="698">
        <v>54.49</v>
      </c>
      <c r="H221" s="12" t="s">
        <v>889</v>
      </c>
      <c r="I221" s="12" t="s">
        <v>893</v>
      </c>
      <c r="J221" s="12" t="s">
        <v>930</v>
      </c>
      <c r="K221" s="12" t="s">
        <v>895</v>
      </c>
      <c r="L221" s="12"/>
      <c r="M221" s="11"/>
      <c r="N221" s="11"/>
      <c r="O221" s="11"/>
      <c r="P221" s="11"/>
    </row>
    <row r="222" spans="1:16" x14ac:dyDescent="0.25">
      <c r="A222" s="695">
        <v>56212</v>
      </c>
      <c r="B222" s="558">
        <v>1000</v>
      </c>
      <c r="C222" s="693">
        <v>100</v>
      </c>
      <c r="D222" s="558">
        <v>2700</v>
      </c>
      <c r="F222" s="11" t="s">
        <v>1285</v>
      </c>
      <c r="G222" s="698">
        <v>0.02</v>
      </c>
      <c r="H222" s="12" t="s">
        <v>889</v>
      </c>
      <c r="I222" s="12" t="s">
        <v>913</v>
      </c>
      <c r="J222" s="12" t="s">
        <v>934</v>
      </c>
      <c r="K222" s="12" t="s">
        <v>895</v>
      </c>
      <c r="L222" s="12"/>
      <c r="M222" s="11"/>
      <c r="N222" s="11"/>
      <c r="O222" s="11"/>
      <c r="P222" s="11"/>
    </row>
    <row r="223" spans="1:16" x14ac:dyDescent="0.25">
      <c r="A223" s="695">
        <v>56212</v>
      </c>
      <c r="B223" s="558">
        <v>1000</v>
      </c>
      <c r="C223" s="693">
        <v>100</v>
      </c>
      <c r="D223" s="558">
        <v>3100</v>
      </c>
      <c r="F223" s="11" t="s">
        <v>1285</v>
      </c>
      <c r="G223" s="698">
        <v>4.57</v>
      </c>
      <c r="H223" s="12" t="s">
        <v>889</v>
      </c>
      <c r="I223" s="12" t="s">
        <v>893</v>
      </c>
      <c r="J223" s="12" t="s">
        <v>942</v>
      </c>
      <c r="K223" s="12" t="s">
        <v>895</v>
      </c>
      <c r="L223" s="12"/>
      <c r="M223" s="11"/>
      <c r="N223" s="11"/>
      <c r="O223" s="11"/>
      <c r="P223" s="11"/>
    </row>
    <row r="224" spans="1:16" x14ac:dyDescent="0.25">
      <c r="A224" s="695">
        <v>56212</v>
      </c>
      <c r="B224" s="558">
        <v>1000</v>
      </c>
      <c r="C224" s="693">
        <v>200</v>
      </c>
      <c r="D224" s="558">
        <v>1000</v>
      </c>
      <c r="F224" s="11" t="s">
        <v>1285</v>
      </c>
      <c r="G224" s="698">
        <v>58.39</v>
      </c>
      <c r="H224" s="12" t="s">
        <v>889</v>
      </c>
      <c r="I224" s="12" t="s">
        <v>897</v>
      </c>
      <c r="J224" s="12" t="s">
        <v>894</v>
      </c>
      <c r="K224" s="12" t="s">
        <v>895</v>
      </c>
      <c r="L224" s="12"/>
      <c r="M224" s="11"/>
      <c r="N224" s="11"/>
      <c r="O224" s="11"/>
      <c r="P224" s="11"/>
    </row>
    <row r="225" spans="1:16" x14ac:dyDescent="0.25">
      <c r="A225" s="695">
        <v>56212</v>
      </c>
      <c r="B225" s="558">
        <v>1000</v>
      </c>
      <c r="C225" s="693">
        <v>200</v>
      </c>
      <c r="D225" s="558">
        <v>2100</v>
      </c>
      <c r="F225" s="11" t="s">
        <v>1285</v>
      </c>
      <c r="G225" s="698">
        <v>2.99</v>
      </c>
      <c r="H225" s="12" t="s">
        <v>889</v>
      </c>
      <c r="I225" s="12" t="s">
        <v>897</v>
      </c>
      <c r="J225" s="12" t="s">
        <v>902</v>
      </c>
      <c r="K225" s="12" t="s">
        <v>895</v>
      </c>
      <c r="L225" s="12"/>
      <c r="M225" s="11"/>
      <c r="N225" s="11"/>
      <c r="O225" s="11"/>
      <c r="P225" s="11"/>
    </row>
    <row r="226" spans="1:16" x14ac:dyDescent="0.25">
      <c r="A226" s="695">
        <v>56212</v>
      </c>
      <c r="B226" s="558">
        <v>1000</v>
      </c>
      <c r="C226" s="693">
        <v>240</v>
      </c>
      <c r="D226" s="558">
        <v>1000</v>
      </c>
      <c r="F226" s="11" t="s">
        <v>1285</v>
      </c>
      <c r="G226" s="698">
        <v>3.66</v>
      </c>
      <c r="H226" s="12" t="s">
        <v>889</v>
      </c>
      <c r="I226" s="12" t="s">
        <v>897</v>
      </c>
      <c r="J226" s="12" t="s">
        <v>894</v>
      </c>
      <c r="K226" s="12" t="s">
        <v>895</v>
      </c>
      <c r="L226" s="12"/>
      <c r="M226" s="11"/>
      <c r="N226" s="11"/>
      <c r="O226" s="11"/>
      <c r="P226" s="11"/>
    </row>
    <row r="227" spans="1:16" x14ac:dyDescent="0.25">
      <c r="A227" s="695">
        <v>56212</v>
      </c>
      <c r="B227" s="558">
        <v>1000</v>
      </c>
      <c r="C227" s="693">
        <v>260</v>
      </c>
      <c r="D227" s="558">
        <v>1000</v>
      </c>
      <c r="F227" s="11" t="s">
        <v>1285</v>
      </c>
      <c r="G227" s="698">
        <v>0.61</v>
      </c>
      <c r="H227" s="12" t="s">
        <v>889</v>
      </c>
      <c r="I227" s="12" t="s">
        <v>901</v>
      </c>
      <c r="J227" s="12" t="s">
        <v>894</v>
      </c>
      <c r="K227" s="12" t="s">
        <v>895</v>
      </c>
      <c r="L227" s="12"/>
      <c r="M227" s="11"/>
      <c r="N227" s="11"/>
      <c r="O227" s="11"/>
      <c r="P227" s="11"/>
    </row>
    <row r="228" spans="1:16" x14ac:dyDescent="0.25">
      <c r="A228" s="695">
        <v>56212</v>
      </c>
      <c r="B228" s="558">
        <v>1000</v>
      </c>
      <c r="C228" s="693">
        <v>400</v>
      </c>
      <c r="D228" s="558">
        <v>2700</v>
      </c>
      <c r="F228" s="11" t="s">
        <v>1285</v>
      </c>
      <c r="G228" s="698">
        <v>1.1200000000000001</v>
      </c>
      <c r="H228" s="12" t="s">
        <v>889</v>
      </c>
      <c r="I228" s="12" t="s">
        <v>913</v>
      </c>
      <c r="J228" s="12" t="s">
        <v>934</v>
      </c>
      <c r="K228" s="12" t="s">
        <v>895</v>
      </c>
      <c r="L228" s="12"/>
      <c r="M228" s="11"/>
      <c r="N228" s="11"/>
      <c r="O228" s="11"/>
      <c r="P228" s="11"/>
    </row>
    <row r="229" spans="1:16" x14ac:dyDescent="0.25">
      <c r="A229" s="695">
        <v>56212</v>
      </c>
      <c r="B229" s="558">
        <v>1220</v>
      </c>
      <c r="C229" s="693">
        <v>200</v>
      </c>
      <c r="D229" s="558">
        <v>2100</v>
      </c>
      <c r="F229" s="11" t="s">
        <v>1285</v>
      </c>
      <c r="G229" s="698">
        <v>23.7</v>
      </c>
      <c r="H229" s="12" t="s">
        <v>932</v>
      </c>
      <c r="I229" s="12" t="s">
        <v>897</v>
      </c>
      <c r="J229" s="12" t="s">
        <v>902</v>
      </c>
      <c r="K229" s="12" t="s">
        <v>895</v>
      </c>
      <c r="L229" s="12"/>
      <c r="M229" s="11"/>
      <c r="N229" s="11"/>
      <c r="O229" s="11"/>
      <c r="P229" s="11"/>
    </row>
    <row r="230" spans="1:16" x14ac:dyDescent="0.25">
      <c r="A230" s="695">
        <v>56212</v>
      </c>
      <c r="B230" s="558">
        <v>1321</v>
      </c>
      <c r="C230" s="693">
        <v>100</v>
      </c>
      <c r="D230" s="558">
        <v>1000</v>
      </c>
      <c r="F230" s="11" t="s">
        <v>1285</v>
      </c>
      <c r="G230" s="698">
        <v>178.84</v>
      </c>
      <c r="H230" s="12" t="s">
        <v>968</v>
      </c>
      <c r="I230" s="12" t="s">
        <v>893</v>
      </c>
      <c r="J230" s="12" t="s">
        <v>894</v>
      </c>
      <c r="K230" s="12" t="s">
        <v>895</v>
      </c>
      <c r="L230" s="12"/>
      <c r="M230" s="11"/>
      <c r="N230" s="11"/>
      <c r="O230" s="11"/>
      <c r="P230" s="11"/>
    </row>
    <row r="231" spans="1:16" x14ac:dyDescent="0.25">
      <c r="A231" s="695">
        <v>56212</v>
      </c>
      <c r="B231" s="558">
        <v>1321</v>
      </c>
      <c r="C231" s="693">
        <v>100</v>
      </c>
      <c r="D231" s="558">
        <v>2100</v>
      </c>
      <c r="F231" s="11" t="s">
        <v>1285</v>
      </c>
      <c r="G231" s="698">
        <v>91.76</v>
      </c>
      <c r="H231" s="12" t="s">
        <v>968</v>
      </c>
      <c r="I231" s="12" t="s">
        <v>893</v>
      </c>
      <c r="J231" s="12" t="s">
        <v>902</v>
      </c>
      <c r="K231" s="12" t="s">
        <v>895</v>
      </c>
      <c r="L231" s="12"/>
      <c r="M231" s="11"/>
      <c r="N231" s="11"/>
      <c r="O231" s="11"/>
      <c r="P231" s="11"/>
    </row>
    <row r="232" spans="1:16" x14ac:dyDescent="0.25">
      <c r="A232" s="695">
        <v>56212</v>
      </c>
      <c r="B232" s="558">
        <v>1321</v>
      </c>
      <c r="C232" s="693">
        <v>100</v>
      </c>
      <c r="D232" s="558">
        <v>2200</v>
      </c>
      <c r="F232" s="11" t="s">
        <v>1285</v>
      </c>
      <c r="G232" s="698">
        <v>18.010000000000002</v>
      </c>
      <c r="H232" s="12" t="s">
        <v>968</v>
      </c>
      <c r="I232" s="12" t="s">
        <v>893</v>
      </c>
      <c r="J232" s="12" t="s">
        <v>906</v>
      </c>
      <c r="K232" s="12" t="s">
        <v>895</v>
      </c>
      <c r="L232" s="12"/>
      <c r="M232" s="11"/>
      <c r="N232" s="11"/>
      <c r="O232" s="11"/>
      <c r="P232" s="11"/>
    </row>
    <row r="233" spans="1:16" x14ac:dyDescent="0.25">
      <c r="A233" s="695">
        <v>56212</v>
      </c>
      <c r="B233" s="558">
        <v>1321</v>
      </c>
      <c r="C233" s="693">
        <v>200</v>
      </c>
      <c r="D233" s="558">
        <v>2100</v>
      </c>
      <c r="F233" s="11" t="s">
        <v>1285</v>
      </c>
      <c r="G233" s="698">
        <v>47.49</v>
      </c>
      <c r="H233" s="12" t="s">
        <v>968</v>
      </c>
      <c r="I233" s="12" t="s">
        <v>897</v>
      </c>
      <c r="J233" s="12" t="s">
        <v>902</v>
      </c>
      <c r="K233" s="12" t="s">
        <v>895</v>
      </c>
      <c r="L233" s="12"/>
      <c r="M233" s="11"/>
      <c r="N233" s="11"/>
      <c r="O233" s="11"/>
      <c r="P233" s="11"/>
    </row>
    <row r="234" spans="1:16" x14ac:dyDescent="0.25">
      <c r="A234" s="695">
        <v>56212</v>
      </c>
      <c r="B234" s="558">
        <v>1322</v>
      </c>
      <c r="C234" s="693">
        <v>100</v>
      </c>
      <c r="D234" s="558">
        <v>2500</v>
      </c>
      <c r="F234" s="11" t="s">
        <v>1285</v>
      </c>
      <c r="G234" s="698">
        <v>0</v>
      </c>
      <c r="H234" s="12" t="s">
        <v>968</v>
      </c>
      <c r="I234" s="12" t="s">
        <v>893</v>
      </c>
      <c r="J234" s="12" t="s">
        <v>926</v>
      </c>
      <c r="K234" s="12" t="s">
        <v>895</v>
      </c>
      <c r="L234" s="12"/>
      <c r="M234" s="11"/>
      <c r="N234" s="11"/>
      <c r="O234" s="11"/>
      <c r="P234" s="11"/>
    </row>
    <row r="235" spans="1:16" x14ac:dyDescent="0.25">
      <c r="A235" s="695">
        <v>56212</v>
      </c>
      <c r="B235" s="558">
        <v>1751</v>
      </c>
      <c r="C235" s="693">
        <v>620</v>
      </c>
      <c r="D235" s="558">
        <v>1000</v>
      </c>
      <c r="F235" s="11" t="s">
        <v>1285</v>
      </c>
      <c r="G235" s="698">
        <v>1.06</v>
      </c>
      <c r="H235" s="12" t="s">
        <v>997</v>
      </c>
      <c r="I235" s="12" t="s">
        <v>941</v>
      </c>
      <c r="J235" s="12" t="s">
        <v>894</v>
      </c>
      <c r="K235" s="12" t="s">
        <v>895</v>
      </c>
      <c r="L235" s="12"/>
      <c r="M235" s="11"/>
      <c r="N235" s="11"/>
      <c r="O235" s="11"/>
      <c r="P235" s="11"/>
    </row>
    <row r="236" spans="1:16" x14ac:dyDescent="0.25">
      <c r="A236" s="695">
        <v>56212</v>
      </c>
      <c r="B236" s="558">
        <v>1884</v>
      </c>
      <c r="C236" s="693">
        <v>100</v>
      </c>
      <c r="D236" s="558">
        <v>1000</v>
      </c>
      <c r="F236" s="11" t="s">
        <v>1285</v>
      </c>
      <c r="G236" s="698">
        <v>4.8</v>
      </c>
      <c r="H236" s="12" t="s">
        <v>997</v>
      </c>
      <c r="I236" s="12" t="s">
        <v>893</v>
      </c>
      <c r="J236" s="12" t="s">
        <v>894</v>
      </c>
      <c r="K236" s="12" t="s">
        <v>895</v>
      </c>
      <c r="L236" s="12"/>
      <c r="M236" s="11"/>
      <c r="N236" s="11"/>
      <c r="O236" s="11"/>
      <c r="P236" s="11"/>
    </row>
    <row r="237" spans="1:16" x14ac:dyDescent="0.25">
      <c r="A237" s="695">
        <v>56212</v>
      </c>
      <c r="B237" s="558" t="s">
        <v>1245</v>
      </c>
      <c r="C237" s="693">
        <v>100</v>
      </c>
      <c r="D237" s="558">
        <v>1000</v>
      </c>
      <c r="F237" s="11" t="s">
        <v>1285</v>
      </c>
      <c r="G237" s="698">
        <v>186.19</v>
      </c>
      <c r="H237" s="12" t="s">
        <v>904</v>
      </c>
      <c r="I237" s="12" t="s">
        <v>893</v>
      </c>
      <c r="J237" s="12" t="s">
        <v>894</v>
      </c>
      <c r="K237" s="12" t="s">
        <v>895</v>
      </c>
      <c r="L237" s="12"/>
      <c r="M237" s="11"/>
      <c r="N237" s="11"/>
      <c r="O237" s="11"/>
      <c r="P237" s="11"/>
    </row>
    <row r="238" spans="1:16" x14ac:dyDescent="0.25">
      <c r="A238" s="694">
        <v>56212</v>
      </c>
      <c r="B238" s="558" t="s">
        <v>1245</v>
      </c>
      <c r="C238" s="693">
        <v>260</v>
      </c>
      <c r="D238" s="558">
        <v>1000</v>
      </c>
      <c r="F238" s="11" t="s">
        <v>1285</v>
      </c>
      <c r="G238" s="698">
        <v>13.08</v>
      </c>
      <c r="H238" s="12" t="s">
        <v>904</v>
      </c>
      <c r="I238" s="12" t="s">
        <v>901</v>
      </c>
      <c r="J238" s="12" t="s">
        <v>894</v>
      </c>
      <c r="K238" s="12" t="s">
        <v>895</v>
      </c>
      <c r="L238" s="12"/>
      <c r="M238" s="11"/>
      <c r="N238" s="11"/>
      <c r="O238" s="11"/>
      <c r="P238" s="11"/>
    </row>
    <row r="239" spans="1:16" x14ac:dyDescent="0.25">
      <c r="A239" s="695">
        <v>56213</v>
      </c>
      <c r="B239" s="558">
        <v>1000</v>
      </c>
      <c r="C239" s="693">
        <v>100</v>
      </c>
      <c r="D239" s="558">
        <v>1000</v>
      </c>
      <c r="F239" s="11" t="s">
        <v>1286</v>
      </c>
      <c r="G239" s="698">
        <v>648.49</v>
      </c>
      <c r="H239" s="12" t="s">
        <v>889</v>
      </c>
      <c r="I239" s="12" t="s">
        <v>893</v>
      </c>
      <c r="J239" s="12" t="s">
        <v>894</v>
      </c>
      <c r="K239" s="12" t="s">
        <v>895</v>
      </c>
      <c r="L239" s="12"/>
      <c r="M239" s="11"/>
      <c r="N239" s="11"/>
      <c r="O239" s="11"/>
      <c r="P239" s="11"/>
    </row>
    <row r="240" spans="1:16" x14ac:dyDescent="0.25">
      <c r="A240" s="695">
        <v>56213</v>
      </c>
      <c r="B240" s="558">
        <v>1000</v>
      </c>
      <c r="C240" s="693">
        <v>100</v>
      </c>
      <c r="D240" s="558">
        <v>2100</v>
      </c>
      <c r="F240" s="11" t="s">
        <v>1286</v>
      </c>
      <c r="G240" s="698">
        <v>67.88</v>
      </c>
      <c r="H240" s="12" t="s">
        <v>889</v>
      </c>
      <c r="I240" s="12" t="s">
        <v>893</v>
      </c>
      <c r="J240" s="12" t="s">
        <v>902</v>
      </c>
      <c r="K240" s="12" t="s">
        <v>895</v>
      </c>
      <c r="L240" s="12"/>
      <c r="M240" s="11"/>
      <c r="N240" s="11"/>
      <c r="O240" s="11"/>
      <c r="P240" s="11"/>
    </row>
    <row r="241" spans="1:16" x14ac:dyDescent="0.25">
      <c r="A241" s="695">
        <v>56213</v>
      </c>
      <c r="B241" s="558">
        <v>1000</v>
      </c>
      <c r="C241" s="693">
        <v>100</v>
      </c>
      <c r="D241" s="558">
        <v>2110</v>
      </c>
      <c r="F241" s="11" t="s">
        <v>1286</v>
      </c>
      <c r="G241" s="698">
        <v>4.24</v>
      </c>
      <c r="H241" s="12" t="s">
        <v>889</v>
      </c>
      <c r="I241" s="12" t="s">
        <v>893</v>
      </c>
      <c r="J241" s="12" t="s">
        <v>902</v>
      </c>
      <c r="K241" s="12" t="s">
        <v>895</v>
      </c>
      <c r="L241" s="12"/>
      <c r="M241" s="11"/>
      <c r="N241" s="11"/>
      <c r="O241" s="11"/>
      <c r="P241" s="11"/>
    </row>
    <row r="242" spans="1:16" x14ac:dyDescent="0.25">
      <c r="A242" s="695">
        <v>56213</v>
      </c>
      <c r="B242" s="558">
        <v>1000</v>
      </c>
      <c r="C242" s="693">
        <v>100</v>
      </c>
      <c r="D242" s="558">
        <v>2200</v>
      </c>
      <c r="F242" s="11" t="s">
        <v>1286</v>
      </c>
      <c r="G242" s="698">
        <v>25.9</v>
      </c>
      <c r="H242" s="12" t="s">
        <v>889</v>
      </c>
      <c r="I242" s="12" t="s">
        <v>893</v>
      </c>
      <c r="J242" s="12" t="s">
        <v>906</v>
      </c>
      <c r="K242" s="12" t="s">
        <v>895</v>
      </c>
      <c r="L242" s="12"/>
      <c r="M242" s="11"/>
      <c r="N242" s="11"/>
      <c r="O242" s="11"/>
      <c r="P242" s="11"/>
    </row>
    <row r="243" spans="1:16" x14ac:dyDescent="0.25">
      <c r="A243" s="695">
        <v>56213</v>
      </c>
      <c r="B243" s="558">
        <v>1000</v>
      </c>
      <c r="C243" s="693">
        <v>100</v>
      </c>
      <c r="D243" s="558">
        <v>2300</v>
      </c>
      <c r="F243" s="11" t="s">
        <v>1286</v>
      </c>
      <c r="G243" s="698">
        <v>2.12</v>
      </c>
      <c r="H243" s="12" t="s">
        <v>889</v>
      </c>
      <c r="I243" s="12" t="s">
        <v>893</v>
      </c>
      <c r="J243" s="12" t="s">
        <v>918</v>
      </c>
      <c r="K243" s="12" t="s">
        <v>895</v>
      </c>
      <c r="L243" s="12"/>
      <c r="M243" s="11"/>
      <c r="N243" s="11"/>
      <c r="O243" s="11"/>
      <c r="P243" s="11"/>
    </row>
    <row r="244" spans="1:16" x14ac:dyDescent="0.25">
      <c r="A244" s="695">
        <v>56213</v>
      </c>
      <c r="B244" s="558">
        <v>1000</v>
      </c>
      <c r="C244" s="693">
        <v>100</v>
      </c>
      <c r="D244" s="558">
        <v>2310</v>
      </c>
      <c r="F244" s="11" t="s">
        <v>1286</v>
      </c>
      <c r="G244" s="698">
        <v>2.12</v>
      </c>
      <c r="H244" s="12" t="s">
        <v>889</v>
      </c>
      <c r="I244" s="12" t="s">
        <v>893</v>
      </c>
      <c r="J244" s="12" t="s">
        <v>918</v>
      </c>
      <c r="K244" s="12" t="s">
        <v>895</v>
      </c>
      <c r="L244" s="12"/>
      <c r="M244" s="11"/>
      <c r="N244" s="11"/>
      <c r="O244" s="11"/>
      <c r="P244" s="11"/>
    </row>
    <row r="245" spans="1:16" x14ac:dyDescent="0.25">
      <c r="A245" s="695">
        <v>56213</v>
      </c>
      <c r="B245" s="558">
        <v>1000</v>
      </c>
      <c r="C245" s="693">
        <v>100</v>
      </c>
      <c r="D245" s="558">
        <v>2400</v>
      </c>
      <c r="F245" s="11" t="s">
        <v>1286</v>
      </c>
      <c r="G245" s="698">
        <v>77.569999999999993</v>
      </c>
      <c r="H245" s="12" t="s">
        <v>889</v>
      </c>
      <c r="I245" s="12" t="s">
        <v>893</v>
      </c>
      <c r="J245" s="12" t="s">
        <v>922</v>
      </c>
      <c r="K245" s="12" t="s">
        <v>895</v>
      </c>
      <c r="L245" s="12"/>
      <c r="M245" s="11"/>
      <c r="N245" s="11"/>
      <c r="O245" s="11"/>
      <c r="P245" s="11"/>
    </row>
    <row r="246" spans="1:16" x14ac:dyDescent="0.25">
      <c r="A246" s="695">
        <v>56213</v>
      </c>
      <c r="B246" s="558">
        <v>1000</v>
      </c>
      <c r="C246" s="693">
        <v>100</v>
      </c>
      <c r="D246" s="558">
        <v>2410</v>
      </c>
      <c r="F246" s="11" t="s">
        <v>1286</v>
      </c>
      <c r="G246" s="698">
        <v>12.18</v>
      </c>
      <c r="H246" s="12" t="s">
        <v>889</v>
      </c>
      <c r="I246" s="12" t="s">
        <v>893</v>
      </c>
      <c r="J246" s="12" t="s">
        <v>922</v>
      </c>
      <c r="K246" s="12" t="s">
        <v>895</v>
      </c>
      <c r="L246" s="12"/>
      <c r="M246" s="11"/>
      <c r="N246" s="11"/>
      <c r="O246" s="11"/>
      <c r="P246" s="11"/>
    </row>
    <row r="247" spans="1:16" x14ac:dyDescent="0.25">
      <c r="A247" s="695">
        <v>56213</v>
      </c>
      <c r="B247" s="558">
        <v>1000</v>
      </c>
      <c r="C247" s="693">
        <v>100</v>
      </c>
      <c r="D247" s="558">
        <v>2500</v>
      </c>
      <c r="F247" s="11" t="s">
        <v>1286</v>
      </c>
      <c r="G247" s="698">
        <v>105.55</v>
      </c>
      <c r="H247" s="12" t="s">
        <v>889</v>
      </c>
      <c r="I247" s="12" t="s">
        <v>893</v>
      </c>
      <c r="J247" s="12" t="s">
        <v>926</v>
      </c>
      <c r="K247" s="12" t="s">
        <v>895</v>
      </c>
      <c r="L247" s="12"/>
      <c r="M247" s="11"/>
      <c r="N247" s="11"/>
      <c r="O247" s="11"/>
      <c r="P247" s="11"/>
    </row>
    <row r="248" spans="1:16" x14ac:dyDescent="0.25">
      <c r="A248" s="695">
        <v>56213</v>
      </c>
      <c r="B248" s="558">
        <v>1000</v>
      </c>
      <c r="C248" s="693">
        <v>100</v>
      </c>
      <c r="D248" s="558">
        <v>2510</v>
      </c>
      <c r="F248" s="11" t="s">
        <v>1286</v>
      </c>
      <c r="G248" s="698">
        <v>2.19</v>
      </c>
      <c r="H248" s="12" t="s">
        <v>889</v>
      </c>
      <c r="I248" s="12" t="s">
        <v>893</v>
      </c>
      <c r="J248" s="12" t="s">
        <v>926</v>
      </c>
      <c r="K248" s="12" t="s">
        <v>895</v>
      </c>
      <c r="L248" s="12"/>
      <c r="M248" s="11"/>
      <c r="N248" s="11"/>
      <c r="O248" s="11"/>
      <c r="P248" s="11"/>
    </row>
    <row r="249" spans="1:16" x14ac:dyDescent="0.25">
      <c r="A249" s="695">
        <v>56213</v>
      </c>
      <c r="B249" s="558">
        <v>1000</v>
      </c>
      <c r="C249" s="693">
        <v>100</v>
      </c>
      <c r="D249" s="558">
        <v>2600</v>
      </c>
      <c r="F249" s="11" t="s">
        <v>1286</v>
      </c>
      <c r="G249" s="698">
        <v>25.4</v>
      </c>
      <c r="H249" s="12" t="s">
        <v>889</v>
      </c>
      <c r="I249" s="12" t="s">
        <v>893</v>
      </c>
      <c r="J249" s="12" t="s">
        <v>930</v>
      </c>
      <c r="K249" s="12" t="s">
        <v>895</v>
      </c>
      <c r="L249" s="12"/>
      <c r="M249" s="11"/>
      <c r="N249" s="11"/>
      <c r="O249" s="11"/>
      <c r="P249" s="11"/>
    </row>
    <row r="250" spans="1:16" x14ac:dyDescent="0.25">
      <c r="A250" s="695">
        <v>56213</v>
      </c>
      <c r="B250" s="558">
        <v>1000</v>
      </c>
      <c r="C250" s="693">
        <v>100</v>
      </c>
      <c r="D250" s="558">
        <v>2700</v>
      </c>
      <c r="F250" s="11" t="s">
        <v>1286</v>
      </c>
      <c r="G250" s="698">
        <v>0.01</v>
      </c>
      <c r="H250" s="12" t="s">
        <v>889</v>
      </c>
      <c r="I250" s="12" t="s">
        <v>913</v>
      </c>
      <c r="J250" s="12" t="s">
        <v>934</v>
      </c>
      <c r="K250" s="12" t="s">
        <v>895</v>
      </c>
      <c r="L250" s="12"/>
      <c r="M250" s="11"/>
      <c r="N250" s="11"/>
      <c r="O250" s="11"/>
      <c r="P250" s="11"/>
    </row>
    <row r="251" spans="1:16" x14ac:dyDescent="0.25">
      <c r="A251" s="695">
        <v>56213</v>
      </c>
      <c r="B251" s="558">
        <v>1000</v>
      </c>
      <c r="C251" s="693">
        <v>100</v>
      </c>
      <c r="D251" s="558">
        <v>3100</v>
      </c>
      <c r="F251" s="11" t="s">
        <v>1286</v>
      </c>
      <c r="G251" s="698">
        <v>2.12</v>
      </c>
      <c r="H251" s="12" t="s">
        <v>889</v>
      </c>
      <c r="I251" s="12" t="s">
        <v>893</v>
      </c>
      <c r="J251" s="12" t="s">
        <v>942</v>
      </c>
      <c r="K251" s="12" t="s">
        <v>895</v>
      </c>
      <c r="L251" s="12"/>
      <c r="M251" s="11"/>
      <c r="N251" s="11"/>
      <c r="O251" s="11"/>
      <c r="P251" s="11"/>
    </row>
    <row r="252" spans="1:16" x14ac:dyDescent="0.25">
      <c r="A252" s="695">
        <v>56213</v>
      </c>
      <c r="B252" s="558">
        <v>1000</v>
      </c>
      <c r="C252" s="693">
        <v>200</v>
      </c>
      <c r="D252" s="558">
        <v>1000</v>
      </c>
      <c r="F252" s="11" t="s">
        <v>1286</v>
      </c>
      <c r="G252" s="698">
        <v>27.21</v>
      </c>
      <c r="H252" s="12" t="s">
        <v>889</v>
      </c>
      <c r="I252" s="12" t="s">
        <v>897</v>
      </c>
      <c r="J252" s="12" t="s">
        <v>894</v>
      </c>
      <c r="K252" s="12" t="s">
        <v>895</v>
      </c>
      <c r="L252" s="12"/>
      <c r="M252" s="11"/>
      <c r="N252" s="11"/>
      <c r="O252" s="11"/>
      <c r="P252" s="11"/>
    </row>
    <row r="253" spans="1:16" x14ac:dyDescent="0.25">
      <c r="A253" s="695">
        <v>56213</v>
      </c>
      <c r="B253" s="558">
        <v>1000</v>
      </c>
      <c r="C253" s="693">
        <v>200</v>
      </c>
      <c r="D253" s="558">
        <v>2100</v>
      </c>
      <c r="F253" s="11" t="s">
        <v>1286</v>
      </c>
      <c r="G253" s="698">
        <v>1.18</v>
      </c>
      <c r="H253" s="12" t="s">
        <v>889</v>
      </c>
      <c r="I253" s="12" t="s">
        <v>897</v>
      </c>
      <c r="J253" s="12" t="s">
        <v>902</v>
      </c>
      <c r="K253" s="12" t="s">
        <v>895</v>
      </c>
      <c r="L253" s="12"/>
      <c r="M253" s="11"/>
      <c r="N253" s="11"/>
      <c r="O253" s="11"/>
      <c r="P253" s="11"/>
    </row>
    <row r="254" spans="1:16" x14ac:dyDescent="0.25">
      <c r="A254" s="695">
        <v>56213</v>
      </c>
      <c r="B254" s="558">
        <v>1000</v>
      </c>
      <c r="C254" s="693">
        <v>240</v>
      </c>
      <c r="D254" s="558">
        <v>1000</v>
      </c>
      <c r="F254" s="11" t="s">
        <v>1286</v>
      </c>
      <c r="G254" s="698">
        <v>1.68</v>
      </c>
      <c r="H254" s="12" t="s">
        <v>889</v>
      </c>
      <c r="I254" s="12" t="s">
        <v>897</v>
      </c>
      <c r="J254" s="12" t="s">
        <v>894</v>
      </c>
      <c r="K254" s="12" t="s">
        <v>895</v>
      </c>
      <c r="L254" s="12"/>
      <c r="M254" s="11"/>
      <c r="N254" s="11"/>
      <c r="O254" s="11"/>
      <c r="P254" s="11"/>
    </row>
    <row r="255" spans="1:16" x14ac:dyDescent="0.25">
      <c r="A255" s="695">
        <v>56213</v>
      </c>
      <c r="B255" s="558">
        <v>1000</v>
      </c>
      <c r="C255" s="693">
        <v>260</v>
      </c>
      <c r="D255" s="558">
        <v>1000</v>
      </c>
      <c r="F255" s="11" t="s">
        <v>1286</v>
      </c>
      <c r="G255" s="698">
        <v>0.24</v>
      </c>
      <c r="H255" s="12" t="s">
        <v>889</v>
      </c>
      <c r="I255" s="12" t="s">
        <v>901</v>
      </c>
      <c r="J255" s="12" t="s">
        <v>894</v>
      </c>
      <c r="K255" s="12" t="s">
        <v>895</v>
      </c>
      <c r="L255" s="12"/>
      <c r="M255" s="11"/>
      <c r="N255" s="11"/>
      <c r="O255" s="11"/>
      <c r="P255" s="11"/>
    </row>
    <row r="256" spans="1:16" x14ac:dyDescent="0.25">
      <c r="A256" s="695">
        <v>56213</v>
      </c>
      <c r="B256" s="558">
        <v>1000</v>
      </c>
      <c r="C256" s="693">
        <v>400</v>
      </c>
      <c r="D256" s="558">
        <v>2700</v>
      </c>
      <c r="F256" s="11" t="s">
        <v>1286</v>
      </c>
      <c r="G256" s="698">
        <v>1.73</v>
      </c>
      <c r="H256" s="12" t="s">
        <v>889</v>
      </c>
      <c r="I256" s="12" t="s">
        <v>913</v>
      </c>
      <c r="J256" s="12" t="s">
        <v>934</v>
      </c>
      <c r="K256" s="12" t="s">
        <v>895</v>
      </c>
      <c r="L256" s="12"/>
      <c r="M256" s="11"/>
      <c r="N256" s="11"/>
      <c r="O256" s="11"/>
      <c r="P256" s="11"/>
    </row>
    <row r="257" spans="1:16" x14ac:dyDescent="0.25">
      <c r="A257" s="695">
        <v>56213</v>
      </c>
      <c r="B257" s="558">
        <v>1220</v>
      </c>
      <c r="C257" s="693">
        <v>200</v>
      </c>
      <c r="D257" s="558">
        <v>2100</v>
      </c>
      <c r="F257" s="11" t="s">
        <v>1286</v>
      </c>
      <c r="G257" s="698">
        <v>10.130000000000001</v>
      </c>
      <c r="H257" s="12" t="s">
        <v>932</v>
      </c>
      <c r="I257" s="12" t="s">
        <v>897</v>
      </c>
      <c r="J257" s="12" t="s">
        <v>902</v>
      </c>
      <c r="K257" s="12" t="s">
        <v>895</v>
      </c>
      <c r="L257" s="12"/>
      <c r="M257" s="11"/>
      <c r="N257" s="11"/>
      <c r="O257" s="11"/>
      <c r="P257" s="11"/>
    </row>
    <row r="258" spans="1:16" x14ac:dyDescent="0.25">
      <c r="A258" s="695">
        <v>56213</v>
      </c>
      <c r="B258" s="558">
        <v>1321</v>
      </c>
      <c r="C258" s="693">
        <v>100</v>
      </c>
      <c r="D258" s="558">
        <v>1000</v>
      </c>
      <c r="F258" s="11" t="s">
        <v>1286</v>
      </c>
      <c r="G258" s="698">
        <v>111.46</v>
      </c>
      <c r="H258" s="12" t="s">
        <v>968</v>
      </c>
      <c r="I258" s="12" t="s">
        <v>893</v>
      </c>
      <c r="J258" s="12" t="s">
        <v>894</v>
      </c>
      <c r="K258" s="12" t="s">
        <v>895</v>
      </c>
      <c r="L258" s="12"/>
      <c r="M258" s="11"/>
      <c r="N258" s="11"/>
      <c r="O258" s="11"/>
      <c r="P258" s="11"/>
    </row>
    <row r="259" spans="1:16" x14ac:dyDescent="0.25">
      <c r="A259" s="695">
        <v>56213</v>
      </c>
      <c r="B259" s="558">
        <v>1321</v>
      </c>
      <c r="C259" s="693">
        <v>100</v>
      </c>
      <c r="D259" s="558">
        <v>2100</v>
      </c>
      <c r="F259" s="11" t="s">
        <v>1286</v>
      </c>
      <c r="G259" s="698">
        <v>42.8</v>
      </c>
      <c r="H259" s="12" t="s">
        <v>968</v>
      </c>
      <c r="I259" s="12" t="s">
        <v>893</v>
      </c>
      <c r="J259" s="12" t="s">
        <v>902</v>
      </c>
      <c r="K259" s="12" t="s">
        <v>895</v>
      </c>
      <c r="L259" s="12"/>
      <c r="M259" s="11"/>
      <c r="N259" s="11"/>
      <c r="O259" s="11"/>
      <c r="P259" s="11"/>
    </row>
    <row r="260" spans="1:16" x14ac:dyDescent="0.25">
      <c r="A260" s="695">
        <v>56213</v>
      </c>
      <c r="B260" s="558">
        <v>1321</v>
      </c>
      <c r="C260" s="693">
        <v>100</v>
      </c>
      <c r="D260" s="558">
        <v>2200</v>
      </c>
      <c r="F260" s="11" t="s">
        <v>1286</v>
      </c>
      <c r="G260" s="698">
        <v>8.4</v>
      </c>
      <c r="H260" s="12" t="s">
        <v>968</v>
      </c>
      <c r="I260" s="12" t="s">
        <v>893</v>
      </c>
      <c r="J260" s="12" t="s">
        <v>906</v>
      </c>
      <c r="K260" s="12" t="s">
        <v>895</v>
      </c>
      <c r="L260" s="12"/>
      <c r="M260" s="11"/>
      <c r="N260" s="11"/>
      <c r="O260" s="11"/>
      <c r="P260" s="11"/>
    </row>
    <row r="261" spans="1:16" x14ac:dyDescent="0.25">
      <c r="A261" s="695">
        <v>56213</v>
      </c>
      <c r="B261" s="558">
        <v>1321</v>
      </c>
      <c r="C261" s="693">
        <v>200</v>
      </c>
      <c r="D261" s="558">
        <v>2100</v>
      </c>
      <c r="F261" s="11" t="s">
        <v>1286</v>
      </c>
      <c r="G261" s="698">
        <v>22.07</v>
      </c>
      <c r="H261" s="12" t="s">
        <v>968</v>
      </c>
      <c r="I261" s="12" t="s">
        <v>897</v>
      </c>
      <c r="J261" s="12" t="s">
        <v>902</v>
      </c>
      <c r="K261" s="12" t="s">
        <v>895</v>
      </c>
      <c r="L261" s="12"/>
      <c r="M261" s="11"/>
      <c r="N261" s="11"/>
      <c r="O261" s="11"/>
      <c r="P261" s="11"/>
    </row>
    <row r="262" spans="1:16" x14ac:dyDescent="0.25">
      <c r="A262" s="695">
        <v>56213</v>
      </c>
      <c r="B262" s="558">
        <v>1322</v>
      </c>
      <c r="C262" s="693">
        <v>100</v>
      </c>
      <c r="D262" s="558">
        <v>2500</v>
      </c>
      <c r="F262" s="11" t="s">
        <v>1286</v>
      </c>
      <c r="G262" s="698">
        <v>0</v>
      </c>
      <c r="H262" s="12" t="s">
        <v>968</v>
      </c>
      <c r="I262" s="12" t="s">
        <v>893</v>
      </c>
      <c r="J262" s="12" t="s">
        <v>926</v>
      </c>
      <c r="K262" s="12" t="s">
        <v>895</v>
      </c>
      <c r="L262" s="12"/>
      <c r="M262" s="11"/>
      <c r="N262" s="11"/>
      <c r="O262" s="11"/>
      <c r="P262" s="11"/>
    </row>
    <row r="263" spans="1:16" x14ac:dyDescent="0.25">
      <c r="A263" s="695">
        <v>56213</v>
      </c>
      <c r="B263" s="558">
        <v>1751</v>
      </c>
      <c r="C263" s="693">
        <v>620</v>
      </c>
      <c r="D263" s="558">
        <v>1000</v>
      </c>
      <c r="F263" s="11" t="s">
        <v>1286</v>
      </c>
      <c r="G263" s="698">
        <v>0.49</v>
      </c>
      <c r="H263" s="12" t="s">
        <v>997</v>
      </c>
      <c r="I263" s="12" t="s">
        <v>941</v>
      </c>
      <c r="J263" s="12" t="s">
        <v>894</v>
      </c>
      <c r="K263" s="12" t="s">
        <v>895</v>
      </c>
      <c r="L263" s="12"/>
      <c r="M263" s="11"/>
      <c r="N263" s="11"/>
      <c r="O263" s="11"/>
      <c r="P263" s="11"/>
    </row>
    <row r="264" spans="1:16" x14ac:dyDescent="0.25">
      <c r="A264" s="695">
        <v>56213</v>
      </c>
      <c r="B264" s="558">
        <v>1884</v>
      </c>
      <c r="C264" s="693">
        <v>100</v>
      </c>
      <c r="D264" s="558">
        <v>1000</v>
      </c>
      <c r="F264" s="11" t="s">
        <v>1286</v>
      </c>
      <c r="G264" s="698">
        <v>2.2400000000000002</v>
      </c>
      <c r="H264" s="12" t="s">
        <v>997</v>
      </c>
      <c r="I264" s="12" t="s">
        <v>893</v>
      </c>
      <c r="J264" s="12" t="s">
        <v>894</v>
      </c>
      <c r="K264" s="12" t="s">
        <v>895</v>
      </c>
      <c r="L264" s="12"/>
      <c r="M264" s="11"/>
      <c r="N264" s="11"/>
      <c r="O264" s="11"/>
      <c r="P264" s="11"/>
    </row>
    <row r="265" spans="1:16" x14ac:dyDescent="0.25">
      <c r="A265" s="695">
        <v>56213</v>
      </c>
      <c r="B265" s="558" t="s">
        <v>1245</v>
      </c>
      <c r="C265" s="693">
        <v>100</v>
      </c>
      <c r="D265" s="558">
        <v>1000</v>
      </c>
      <c r="F265" s="11" t="s">
        <v>1286</v>
      </c>
      <c r="G265" s="698">
        <v>86.9</v>
      </c>
      <c r="H265" s="12" t="s">
        <v>904</v>
      </c>
      <c r="I265" s="12" t="s">
        <v>893</v>
      </c>
      <c r="J265" s="12" t="s">
        <v>894</v>
      </c>
      <c r="K265" s="12" t="s">
        <v>895</v>
      </c>
      <c r="L265" s="12"/>
      <c r="M265" s="11"/>
      <c r="N265" s="11"/>
      <c r="O265" s="11"/>
      <c r="P265" s="11"/>
    </row>
    <row r="266" spans="1:16" x14ac:dyDescent="0.25">
      <c r="A266" s="694">
        <v>56213</v>
      </c>
      <c r="B266" s="558" t="s">
        <v>1245</v>
      </c>
      <c r="C266" s="693">
        <v>260</v>
      </c>
      <c r="D266" s="558">
        <v>1000</v>
      </c>
      <c r="F266" s="11" t="s">
        <v>1286</v>
      </c>
      <c r="G266" s="698">
        <v>6.1</v>
      </c>
      <c r="H266" s="12" t="s">
        <v>904</v>
      </c>
      <c r="I266" s="12" t="s">
        <v>901</v>
      </c>
      <c r="J266" s="12" t="s">
        <v>894</v>
      </c>
      <c r="K266" s="12" t="s">
        <v>895</v>
      </c>
      <c r="L266" s="12"/>
      <c r="M266" s="11"/>
      <c r="N266" s="11"/>
      <c r="O266" s="11"/>
      <c r="P266" s="11"/>
    </row>
    <row r="267" spans="1:16" x14ac:dyDescent="0.25">
      <c r="A267" s="695">
        <v>56214</v>
      </c>
      <c r="B267" s="558">
        <v>1000</v>
      </c>
      <c r="C267" s="693">
        <v>100</v>
      </c>
      <c r="D267" s="558">
        <v>1000</v>
      </c>
      <c r="F267" s="11" t="s">
        <v>1287</v>
      </c>
      <c r="G267" s="698">
        <v>3112.39</v>
      </c>
      <c r="H267" s="12" t="s">
        <v>889</v>
      </c>
      <c r="I267" s="12" t="s">
        <v>893</v>
      </c>
      <c r="J267" s="12" t="s">
        <v>894</v>
      </c>
      <c r="K267" s="12" t="s">
        <v>895</v>
      </c>
      <c r="L267" s="12"/>
      <c r="M267" s="11"/>
      <c r="N267" s="11"/>
      <c r="O267" s="11"/>
      <c r="P267" s="11"/>
    </row>
    <row r="268" spans="1:16" x14ac:dyDescent="0.25">
      <c r="A268" s="695">
        <v>56214</v>
      </c>
      <c r="B268" s="558">
        <v>1000</v>
      </c>
      <c r="C268" s="693">
        <v>100</v>
      </c>
      <c r="D268" s="558">
        <v>2100</v>
      </c>
      <c r="F268" s="11" t="s">
        <v>1287</v>
      </c>
      <c r="G268" s="698">
        <v>290.14999999999998</v>
      </c>
      <c r="H268" s="12" t="s">
        <v>889</v>
      </c>
      <c r="I268" s="12" t="s">
        <v>893</v>
      </c>
      <c r="J268" s="12" t="s">
        <v>902</v>
      </c>
      <c r="K268" s="12" t="s">
        <v>895</v>
      </c>
      <c r="L268" s="12"/>
      <c r="M268" s="11"/>
      <c r="N268" s="11"/>
      <c r="O268" s="11"/>
      <c r="P268" s="11"/>
    </row>
    <row r="269" spans="1:16" x14ac:dyDescent="0.25">
      <c r="A269" s="695">
        <v>56214</v>
      </c>
      <c r="B269" s="558">
        <v>1000</v>
      </c>
      <c r="C269" s="693">
        <v>100</v>
      </c>
      <c r="D269" s="558">
        <v>2110</v>
      </c>
      <c r="F269" s="11" t="s">
        <v>1287</v>
      </c>
      <c r="G269" s="698">
        <v>31.94</v>
      </c>
      <c r="H269" s="12" t="s">
        <v>889</v>
      </c>
      <c r="I269" s="12" t="s">
        <v>893</v>
      </c>
      <c r="J269" s="12" t="s">
        <v>902</v>
      </c>
      <c r="K269" s="12" t="s">
        <v>895</v>
      </c>
      <c r="L269" s="12"/>
      <c r="M269" s="11"/>
      <c r="N269" s="11"/>
      <c r="O269" s="11"/>
      <c r="P269" s="11"/>
    </row>
    <row r="270" spans="1:16" x14ac:dyDescent="0.25">
      <c r="A270" s="695">
        <v>56214</v>
      </c>
      <c r="B270" s="558">
        <v>1000</v>
      </c>
      <c r="C270" s="693">
        <v>100</v>
      </c>
      <c r="D270" s="558">
        <v>2200</v>
      </c>
      <c r="F270" s="11" t="s">
        <v>1287</v>
      </c>
      <c r="G270" s="698">
        <v>137.55000000000001</v>
      </c>
      <c r="H270" s="12" t="s">
        <v>889</v>
      </c>
      <c r="I270" s="12" t="s">
        <v>893</v>
      </c>
      <c r="J270" s="12" t="s">
        <v>906</v>
      </c>
      <c r="K270" s="12" t="s">
        <v>895</v>
      </c>
      <c r="L270" s="12"/>
      <c r="M270" s="11"/>
      <c r="N270" s="11"/>
      <c r="O270" s="11"/>
      <c r="P270" s="11"/>
    </row>
    <row r="271" spans="1:16" x14ac:dyDescent="0.25">
      <c r="A271" s="695">
        <v>56214</v>
      </c>
      <c r="B271" s="558">
        <v>1000</v>
      </c>
      <c r="C271" s="693">
        <v>100</v>
      </c>
      <c r="D271" s="558">
        <v>2300</v>
      </c>
      <c r="F271" s="11" t="s">
        <v>1287</v>
      </c>
      <c r="G271" s="698">
        <v>15.97</v>
      </c>
      <c r="H271" s="12" t="s">
        <v>889</v>
      </c>
      <c r="I271" s="12" t="s">
        <v>893</v>
      </c>
      <c r="J271" s="12" t="s">
        <v>918</v>
      </c>
      <c r="K271" s="12" t="s">
        <v>895</v>
      </c>
      <c r="L271" s="12"/>
      <c r="M271" s="11"/>
      <c r="N271" s="11"/>
      <c r="O271" s="11"/>
      <c r="P271" s="11"/>
    </row>
    <row r="272" spans="1:16" x14ac:dyDescent="0.25">
      <c r="A272" s="695">
        <v>56214</v>
      </c>
      <c r="B272" s="558">
        <v>1000</v>
      </c>
      <c r="C272" s="693">
        <v>100</v>
      </c>
      <c r="D272" s="558">
        <v>2310</v>
      </c>
      <c r="F272" s="11" t="s">
        <v>1287</v>
      </c>
      <c r="G272" s="698">
        <v>15.97</v>
      </c>
      <c r="H272" s="12" t="s">
        <v>889</v>
      </c>
      <c r="I272" s="12" t="s">
        <v>893</v>
      </c>
      <c r="J272" s="12" t="s">
        <v>918</v>
      </c>
      <c r="K272" s="12" t="s">
        <v>895</v>
      </c>
      <c r="L272" s="12"/>
      <c r="M272" s="11"/>
      <c r="N272" s="11"/>
      <c r="O272" s="11"/>
      <c r="P272" s="11"/>
    </row>
    <row r="273" spans="1:16" x14ac:dyDescent="0.25">
      <c r="A273" s="695">
        <v>56214</v>
      </c>
      <c r="B273" s="558">
        <v>1000</v>
      </c>
      <c r="C273" s="693">
        <v>100</v>
      </c>
      <c r="D273" s="558">
        <v>2400</v>
      </c>
      <c r="F273" s="11" t="s">
        <v>1287</v>
      </c>
      <c r="G273" s="698">
        <v>421.58</v>
      </c>
      <c r="H273" s="12" t="s">
        <v>889</v>
      </c>
      <c r="I273" s="12" t="s">
        <v>893</v>
      </c>
      <c r="J273" s="12" t="s">
        <v>922</v>
      </c>
      <c r="K273" s="12" t="s">
        <v>895</v>
      </c>
      <c r="L273" s="12"/>
      <c r="M273" s="11"/>
      <c r="N273" s="11"/>
      <c r="O273" s="11"/>
      <c r="P273" s="11"/>
    </row>
    <row r="274" spans="1:16" x14ac:dyDescent="0.25">
      <c r="A274" s="695">
        <v>56214</v>
      </c>
      <c r="B274" s="558">
        <v>1000</v>
      </c>
      <c r="C274" s="693">
        <v>100</v>
      </c>
      <c r="D274" s="558">
        <v>2410</v>
      </c>
      <c r="F274" s="11" t="s">
        <v>1287</v>
      </c>
      <c r="G274" s="698">
        <v>64.959999999999994</v>
      </c>
      <c r="H274" s="12" t="s">
        <v>889</v>
      </c>
      <c r="I274" s="12" t="s">
        <v>893</v>
      </c>
      <c r="J274" s="12" t="s">
        <v>922</v>
      </c>
      <c r="K274" s="12" t="s">
        <v>895</v>
      </c>
      <c r="L274" s="12"/>
      <c r="M274" s="11"/>
      <c r="N274" s="11"/>
      <c r="O274" s="11"/>
      <c r="P274" s="11"/>
    </row>
    <row r="275" spans="1:16" x14ac:dyDescent="0.25">
      <c r="A275" s="695">
        <v>56214</v>
      </c>
      <c r="B275" s="558">
        <v>1000</v>
      </c>
      <c r="C275" s="693">
        <v>100</v>
      </c>
      <c r="D275" s="558">
        <v>2500</v>
      </c>
      <c r="F275" s="11" t="s">
        <v>1287</v>
      </c>
      <c r="G275" s="698">
        <v>2712.69</v>
      </c>
      <c r="H275" s="12" t="s">
        <v>889</v>
      </c>
      <c r="I275" s="12" t="s">
        <v>893</v>
      </c>
      <c r="J275" s="12" t="s">
        <v>926</v>
      </c>
      <c r="K275" s="12" t="s">
        <v>895</v>
      </c>
      <c r="L275" s="12"/>
      <c r="M275" s="11"/>
      <c r="N275" s="11"/>
      <c r="O275" s="11"/>
      <c r="P275" s="11"/>
    </row>
    <row r="276" spans="1:16" x14ac:dyDescent="0.25">
      <c r="A276" s="695">
        <v>56214</v>
      </c>
      <c r="B276" s="558">
        <v>1000</v>
      </c>
      <c r="C276" s="693">
        <v>100</v>
      </c>
      <c r="D276" s="558">
        <v>2510</v>
      </c>
      <c r="F276" s="11" t="s">
        <v>1287</v>
      </c>
      <c r="G276" s="698">
        <v>15.99</v>
      </c>
      <c r="H276" s="12" t="s">
        <v>889</v>
      </c>
      <c r="I276" s="12" t="s">
        <v>893</v>
      </c>
      <c r="J276" s="12" t="s">
        <v>926</v>
      </c>
      <c r="K276" s="12" t="s">
        <v>895</v>
      </c>
      <c r="L276" s="12"/>
      <c r="M276" s="11"/>
      <c r="N276" s="11"/>
      <c r="O276" s="11"/>
      <c r="P276" s="11"/>
    </row>
    <row r="277" spans="1:16" x14ac:dyDescent="0.25">
      <c r="A277" s="695">
        <v>56214</v>
      </c>
      <c r="B277" s="558">
        <v>1000</v>
      </c>
      <c r="C277" s="693">
        <v>100</v>
      </c>
      <c r="D277" s="558">
        <v>2600</v>
      </c>
      <c r="F277" s="11" t="s">
        <v>1287</v>
      </c>
      <c r="G277" s="698">
        <v>144.46</v>
      </c>
      <c r="H277" s="12" t="s">
        <v>889</v>
      </c>
      <c r="I277" s="12" t="s">
        <v>893</v>
      </c>
      <c r="J277" s="12" t="s">
        <v>930</v>
      </c>
      <c r="K277" s="12" t="s">
        <v>895</v>
      </c>
      <c r="L277" s="12"/>
      <c r="M277" s="11"/>
      <c r="N277" s="11"/>
      <c r="O277" s="11"/>
      <c r="P277" s="11"/>
    </row>
    <row r="278" spans="1:16" x14ac:dyDescent="0.25">
      <c r="A278" s="695">
        <v>56214</v>
      </c>
      <c r="B278" s="558">
        <v>1000</v>
      </c>
      <c r="C278" s="693">
        <v>100</v>
      </c>
      <c r="D278" s="558">
        <v>3100</v>
      </c>
      <c r="F278" s="11" t="s">
        <v>1287</v>
      </c>
      <c r="G278" s="698">
        <v>9.7100000000000009</v>
      </c>
      <c r="H278" s="12" t="s">
        <v>889</v>
      </c>
      <c r="I278" s="12" t="s">
        <v>893</v>
      </c>
      <c r="J278" s="12" t="s">
        <v>942</v>
      </c>
      <c r="K278" s="12" t="s">
        <v>895</v>
      </c>
      <c r="L278" s="12"/>
      <c r="M278" s="11"/>
      <c r="N278" s="11"/>
      <c r="O278" s="11"/>
      <c r="P278" s="11"/>
    </row>
    <row r="279" spans="1:16" x14ac:dyDescent="0.25">
      <c r="A279" s="695">
        <v>56214</v>
      </c>
      <c r="B279" s="558">
        <v>1000</v>
      </c>
      <c r="C279" s="693">
        <v>200</v>
      </c>
      <c r="D279" s="558">
        <v>1000</v>
      </c>
      <c r="F279" s="11" t="s">
        <v>1287</v>
      </c>
      <c r="G279" s="698">
        <v>119.51</v>
      </c>
      <c r="H279" s="12" t="s">
        <v>889</v>
      </c>
      <c r="I279" s="12" t="s">
        <v>897</v>
      </c>
      <c r="J279" s="12" t="s">
        <v>894</v>
      </c>
      <c r="K279" s="12" t="s">
        <v>895</v>
      </c>
      <c r="L279" s="12"/>
      <c r="M279" s="11"/>
      <c r="N279" s="11"/>
      <c r="O279" s="11"/>
      <c r="P279" s="11"/>
    </row>
    <row r="280" spans="1:16" x14ac:dyDescent="0.25">
      <c r="A280" s="695">
        <v>56214</v>
      </c>
      <c r="B280" s="558">
        <v>1000</v>
      </c>
      <c r="C280" s="693">
        <v>200</v>
      </c>
      <c r="D280" s="558">
        <v>2100</v>
      </c>
      <c r="F280" s="11" t="s">
        <v>1287</v>
      </c>
      <c r="G280" s="698">
        <v>24.17</v>
      </c>
      <c r="H280" s="12" t="s">
        <v>889</v>
      </c>
      <c r="I280" s="12" t="s">
        <v>897</v>
      </c>
      <c r="J280" s="12" t="s">
        <v>902</v>
      </c>
      <c r="K280" s="12" t="s">
        <v>895</v>
      </c>
      <c r="L280" s="12"/>
      <c r="M280" s="11"/>
      <c r="N280" s="11"/>
      <c r="O280" s="11"/>
      <c r="P280" s="11"/>
    </row>
    <row r="281" spans="1:16" x14ac:dyDescent="0.25">
      <c r="A281" s="695">
        <v>56214</v>
      </c>
      <c r="B281" s="558">
        <v>1000</v>
      </c>
      <c r="C281" s="693">
        <v>240</v>
      </c>
      <c r="D281" s="558">
        <v>1000</v>
      </c>
      <c r="F281" s="11" t="s">
        <v>1287</v>
      </c>
      <c r="G281" s="698">
        <v>17.98</v>
      </c>
      <c r="H281" s="12" t="s">
        <v>889</v>
      </c>
      <c r="I281" s="12" t="s">
        <v>897</v>
      </c>
      <c r="J281" s="12" t="s">
        <v>894</v>
      </c>
      <c r="K281" s="12" t="s">
        <v>895</v>
      </c>
      <c r="L281" s="12"/>
      <c r="M281" s="11"/>
      <c r="N281" s="11"/>
      <c r="O281" s="11"/>
      <c r="P281" s="11"/>
    </row>
    <row r="282" spans="1:16" x14ac:dyDescent="0.25">
      <c r="A282" s="695">
        <v>56214</v>
      </c>
      <c r="B282" s="558">
        <v>1000</v>
      </c>
      <c r="C282" s="693">
        <v>260</v>
      </c>
      <c r="D282" s="558">
        <v>1000</v>
      </c>
      <c r="F282" s="11" t="s">
        <v>1287</v>
      </c>
      <c r="G282" s="698">
        <v>0.09</v>
      </c>
      <c r="H282" s="12" t="s">
        <v>889</v>
      </c>
      <c r="I282" s="12" t="s">
        <v>901</v>
      </c>
      <c r="J282" s="12" t="s">
        <v>894</v>
      </c>
      <c r="K282" s="12" t="s">
        <v>895</v>
      </c>
      <c r="L282" s="12"/>
      <c r="M282" s="11"/>
      <c r="N282" s="11"/>
      <c r="O282" s="11"/>
      <c r="P282" s="11"/>
    </row>
    <row r="283" spans="1:16" x14ac:dyDescent="0.25">
      <c r="A283" s="695">
        <v>56214</v>
      </c>
      <c r="B283" s="558">
        <v>1000</v>
      </c>
      <c r="C283" s="693">
        <v>400</v>
      </c>
      <c r="D283" s="558">
        <v>2700</v>
      </c>
      <c r="F283" s="11" t="s">
        <v>1287</v>
      </c>
      <c r="G283" s="698">
        <v>0.87</v>
      </c>
      <c r="H283" s="12" t="s">
        <v>889</v>
      </c>
      <c r="I283" s="12" t="s">
        <v>913</v>
      </c>
      <c r="J283" s="12" t="s">
        <v>934</v>
      </c>
      <c r="K283" s="12" t="s">
        <v>895</v>
      </c>
      <c r="L283" s="12"/>
      <c r="M283" s="11"/>
      <c r="N283" s="11"/>
      <c r="O283" s="11"/>
      <c r="P283" s="11"/>
    </row>
    <row r="284" spans="1:16" x14ac:dyDescent="0.25">
      <c r="A284" s="695">
        <v>56214</v>
      </c>
      <c r="B284" s="558">
        <v>1220</v>
      </c>
      <c r="C284" s="693">
        <v>200</v>
      </c>
      <c r="D284" s="558">
        <v>2100</v>
      </c>
      <c r="F284" s="11" t="s">
        <v>1287</v>
      </c>
      <c r="G284" s="698">
        <v>63.36</v>
      </c>
      <c r="H284" s="12" t="s">
        <v>932</v>
      </c>
      <c r="I284" s="12" t="s">
        <v>897</v>
      </c>
      <c r="J284" s="12" t="s">
        <v>902</v>
      </c>
      <c r="K284" s="12" t="s">
        <v>895</v>
      </c>
      <c r="L284" s="12"/>
      <c r="M284" s="11"/>
      <c r="N284" s="11"/>
      <c r="O284" s="11"/>
      <c r="P284" s="11"/>
    </row>
    <row r="285" spans="1:16" x14ac:dyDescent="0.25">
      <c r="A285" s="695">
        <v>56214</v>
      </c>
      <c r="B285" s="558">
        <v>1321</v>
      </c>
      <c r="C285" s="693">
        <v>100</v>
      </c>
      <c r="D285" s="558">
        <v>1000</v>
      </c>
      <c r="F285" s="11" t="s">
        <v>1287</v>
      </c>
      <c r="G285" s="698">
        <v>440.48</v>
      </c>
      <c r="H285" s="12" t="s">
        <v>968</v>
      </c>
      <c r="I285" s="12" t="s">
        <v>893</v>
      </c>
      <c r="J285" s="12" t="s">
        <v>894</v>
      </c>
      <c r="K285" s="12" t="s">
        <v>895</v>
      </c>
      <c r="L285" s="12"/>
      <c r="M285" s="11"/>
      <c r="N285" s="11"/>
      <c r="O285" s="11"/>
      <c r="P285" s="11"/>
    </row>
    <row r="286" spans="1:16" x14ac:dyDescent="0.25">
      <c r="A286" s="695">
        <v>56214</v>
      </c>
      <c r="B286" s="558">
        <v>1321</v>
      </c>
      <c r="C286" s="693">
        <v>100</v>
      </c>
      <c r="D286" s="558">
        <v>2100</v>
      </c>
      <c r="F286" s="11" t="s">
        <v>1287</v>
      </c>
      <c r="G286" s="698">
        <v>168.01</v>
      </c>
      <c r="H286" s="12" t="s">
        <v>968</v>
      </c>
      <c r="I286" s="12" t="s">
        <v>893</v>
      </c>
      <c r="J286" s="12" t="s">
        <v>902</v>
      </c>
      <c r="K286" s="12" t="s">
        <v>895</v>
      </c>
      <c r="L286" s="12"/>
      <c r="M286" s="11"/>
      <c r="N286" s="11"/>
      <c r="O286" s="11"/>
      <c r="P286" s="11"/>
    </row>
    <row r="287" spans="1:16" x14ac:dyDescent="0.25">
      <c r="A287" s="695">
        <v>56214</v>
      </c>
      <c r="B287" s="558">
        <v>1321</v>
      </c>
      <c r="C287" s="693">
        <v>100</v>
      </c>
      <c r="D287" s="558">
        <v>2200</v>
      </c>
      <c r="F287" s="11" t="s">
        <v>1287</v>
      </c>
      <c r="G287" s="698">
        <v>25.54</v>
      </c>
      <c r="H287" s="12" t="s">
        <v>968</v>
      </c>
      <c r="I287" s="12" t="s">
        <v>893</v>
      </c>
      <c r="J287" s="12" t="s">
        <v>906</v>
      </c>
      <c r="K287" s="12" t="s">
        <v>895</v>
      </c>
      <c r="L287" s="12"/>
      <c r="M287" s="11"/>
      <c r="N287" s="11"/>
      <c r="O287" s="11"/>
      <c r="P287" s="11"/>
    </row>
    <row r="288" spans="1:16" x14ac:dyDescent="0.25">
      <c r="A288" s="695">
        <v>56214</v>
      </c>
      <c r="B288" s="558">
        <v>1321</v>
      </c>
      <c r="C288" s="693">
        <v>200</v>
      </c>
      <c r="D288" s="558">
        <v>2100</v>
      </c>
      <c r="F288" s="11" t="s">
        <v>1287</v>
      </c>
      <c r="G288" s="698">
        <v>90.2</v>
      </c>
      <c r="H288" s="12" t="s">
        <v>968</v>
      </c>
      <c r="I288" s="12" t="s">
        <v>897</v>
      </c>
      <c r="J288" s="12" t="s">
        <v>902</v>
      </c>
      <c r="K288" s="12" t="s">
        <v>895</v>
      </c>
      <c r="L288" s="12"/>
      <c r="M288" s="11"/>
      <c r="N288" s="11"/>
      <c r="O288" s="11"/>
      <c r="P288" s="11"/>
    </row>
    <row r="289" spans="1:16" x14ac:dyDescent="0.25">
      <c r="A289" s="695">
        <v>56214</v>
      </c>
      <c r="B289" s="558">
        <v>1322</v>
      </c>
      <c r="C289" s="693">
        <v>100</v>
      </c>
      <c r="D289" s="558">
        <v>2500</v>
      </c>
      <c r="F289" s="11" t="s">
        <v>1287</v>
      </c>
      <c r="G289" s="698">
        <v>0</v>
      </c>
      <c r="H289" s="12" t="s">
        <v>968</v>
      </c>
      <c r="I289" s="12" t="s">
        <v>893</v>
      </c>
      <c r="J289" s="12" t="s">
        <v>926</v>
      </c>
      <c r="K289" s="12" t="s">
        <v>895</v>
      </c>
      <c r="L289" s="12"/>
      <c r="M289" s="11"/>
      <c r="N289" s="11"/>
      <c r="O289" s="11"/>
      <c r="P289" s="11"/>
    </row>
    <row r="290" spans="1:16" x14ac:dyDescent="0.25">
      <c r="A290" s="695">
        <v>56214</v>
      </c>
      <c r="B290" s="558">
        <v>1751</v>
      </c>
      <c r="C290" s="693">
        <v>620</v>
      </c>
      <c r="D290" s="558">
        <v>1000</v>
      </c>
      <c r="F290" s="11" t="s">
        <v>1287</v>
      </c>
      <c r="G290" s="698">
        <v>2.02</v>
      </c>
      <c r="H290" s="12" t="s">
        <v>997</v>
      </c>
      <c r="I290" s="12" t="s">
        <v>941</v>
      </c>
      <c r="J290" s="12" t="s">
        <v>894</v>
      </c>
      <c r="K290" s="12" t="s">
        <v>895</v>
      </c>
      <c r="L290" s="12"/>
      <c r="M290" s="11"/>
      <c r="N290" s="11"/>
      <c r="O290" s="11"/>
      <c r="P290" s="11"/>
    </row>
    <row r="291" spans="1:16" x14ac:dyDescent="0.25">
      <c r="A291" s="695">
        <v>56214</v>
      </c>
      <c r="B291" s="558">
        <v>1884</v>
      </c>
      <c r="C291" s="693">
        <v>100</v>
      </c>
      <c r="D291" s="558">
        <v>1000</v>
      </c>
      <c r="F291" s="11" t="s">
        <v>1287</v>
      </c>
      <c r="G291" s="698">
        <v>9.19</v>
      </c>
      <c r="H291" s="12" t="s">
        <v>997</v>
      </c>
      <c r="I291" s="12" t="s">
        <v>893</v>
      </c>
      <c r="J291" s="12" t="s">
        <v>894</v>
      </c>
      <c r="K291" s="12" t="s">
        <v>895</v>
      </c>
      <c r="L291" s="12"/>
      <c r="M291" s="11"/>
      <c r="N291" s="11"/>
      <c r="O291" s="11"/>
      <c r="P291" s="11"/>
    </row>
    <row r="292" spans="1:16" x14ac:dyDescent="0.25">
      <c r="A292" s="695">
        <v>56214</v>
      </c>
      <c r="B292" s="558" t="s">
        <v>1245</v>
      </c>
      <c r="C292" s="693">
        <v>100</v>
      </c>
      <c r="D292" s="558">
        <v>1000</v>
      </c>
      <c r="F292" s="11" t="s">
        <v>1287</v>
      </c>
      <c r="G292" s="698">
        <v>291.72000000000003</v>
      </c>
      <c r="H292" s="12" t="s">
        <v>904</v>
      </c>
      <c r="I292" s="12" t="s">
        <v>893</v>
      </c>
      <c r="J292" s="12" t="s">
        <v>894</v>
      </c>
      <c r="K292" s="12" t="s">
        <v>895</v>
      </c>
      <c r="L292" s="12"/>
      <c r="M292" s="11"/>
      <c r="N292" s="11"/>
      <c r="O292" s="11"/>
      <c r="P292" s="11"/>
    </row>
    <row r="293" spans="1:16" x14ac:dyDescent="0.25">
      <c r="A293" s="694">
        <v>56214</v>
      </c>
      <c r="B293" s="558" t="s">
        <v>1245</v>
      </c>
      <c r="C293" s="693">
        <v>260</v>
      </c>
      <c r="D293" s="558">
        <v>1000</v>
      </c>
      <c r="F293" s="11" t="s">
        <v>1287</v>
      </c>
      <c r="G293" s="698">
        <v>25.39</v>
      </c>
      <c r="H293" s="12" t="s">
        <v>904</v>
      </c>
      <c r="I293" s="12" t="s">
        <v>901</v>
      </c>
      <c r="J293" s="12" t="s">
        <v>894</v>
      </c>
      <c r="K293" s="12" t="s">
        <v>895</v>
      </c>
      <c r="L293" s="12"/>
      <c r="M293" s="11"/>
      <c r="N293" s="11"/>
      <c r="O293" s="11"/>
      <c r="P293" s="11"/>
    </row>
    <row r="294" spans="1:16" x14ac:dyDescent="0.25">
      <c r="A294" s="695">
        <v>56221</v>
      </c>
      <c r="B294" s="558">
        <v>1000</v>
      </c>
      <c r="C294" s="693">
        <v>100</v>
      </c>
      <c r="D294" s="558">
        <v>1000</v>
      </c>
      <c r="F294" s="11" t="s">
        <v>1288</v>
      </c>
      <c r="G294" s="698">
        <v>65920.25</v>
      </c>
      <c r="H294" s="12" t="s">
        <v>889</v>
      </c>
      <c r="I294" s="12" t="s">
        <v>893</v>
      </c>
      <c r="J294" s="12" t="s">
        <v>894</v>
      </c>
      <c r="K294" s="12" t="s">
        <v>895</v>
      </c>
      <c r="L294" s="12"/>
      <c r="M294" s="11"/>
      <c r="N294" s="11"/>
      <c r="O294" s="11"/>
      <c r="P294" s="11"/>
    </row>
    <row r="295" spans="1:16" x14ac:dyDescent="0.25">
      <c r="A295" s="695">
        <v>56221</v>
      </c>
      <c r="B295" s="558">
        <v>1000</v>
      </c>
      <c r="C295" s="693">
        <v>100</v>
      </c>
      <c r="D295" s="558">
        <v>2100</v>
      </c>
      <c r="F295" s="11" t="s">
        <v>1288</v>
      </c>
      <c r="G295" s="698">
        <v>6620.7</v>
      </c>
      <c r="H295" s="12" t="s">
        <v>889</v>
      </c>
      <c r="I295" s="12" t="s">
        <v>893</v>
      </c>
      <c r="J295" s="12" t="s">
        <v>902</v>
      </c>
      <c r="K295" s="12" t="s">
        <v>895</v>
      </c>
      <c r="L295" s="12"/>
      <c r="M295" s="11"/>
      <c r="N295" s="11"/>
      <c r="O295" s="11"/>
      <c r="P295" s="11"/>
    </row>
    <row r="296" spans="1:16" x14ac:dyDescent="0.25">
      <c r="A296" s="695">
        <v>56221</v>
      </c>
      <c r="B296" s="558">
        <v>1000</v>
      </c>
      <c r="C296" s="693">
        <v>100</v>
      </c>
      <c r="D296" s="558">
        <v>2110</v>
      </c>
      <c r="F296" s="11" t="s">
        <v>1288</v>
      </c>
      <c r="G296" s="698">
        <v>568.21</v>
      </c>
      <c r="H296" s="12" t="s">
        <v>889</v>
      </c>
      <c r="I296" s="12" t="s">
        <v>893</v>
      </c>
      <c r="J296" s="12" t="s">
        <v>902</v>
      </c>
      <c r="K296" s="12" t="s">
        <v>895</v>
      </c>
      <c r="L296" s="12"/>
      <c r="M296" s="11"/>
      <c r="N296" s="11"/>
      <c r="O296" s="11"/>
      <c r="P296" s="11"/>
    </row>
    <row r="297" spans="1:16" x14ac:dyDescent="0.25">
      <c r="A297" s="695">
        <v>56221</v>
      </c>
      <c r="B297" s="558">
        <v>1000</v>
      </c>
      <c r="C297" s="693">
        <v>100</v>
      </c>
      <c r="D297" s="558">
        <v>2200</v>
      </c>
      <c r="F297" s="11" t="s">
        <v>1288</v>
      </c>
      <c r="G297" s="698">
        <v>3037.16</v>
      </c>
      <c r="H297" s="12" t="s">
        <v>889</v>
      </c>
      <c r="I297" s="12" t="s">
        <v>893</v>
      </c>
      <c r="J297" s="12" t="s">
        <v>906</v>
      </c>
      <c r="K297" s="12" t="s">
        <v>895</v>
      </c>
      <c r="L297" s="12"/>
      <c r="M297" s="11"/>
      <c r="N297" s="11"/>
      <c r="O297" s="11"/>
      <c r="P297" s="11"/>
    </row>
    <row r="298" spans="1:16" x14ac:dyDescent="0.25">
      <c r="A298" s="695">
        <v>56221</v>
      </c>
      <c r="B298" s="558">
        <v>1000</v>
      </c>
      <c r="C298" s="693">
        <v>100</v>
      </c>
      <c r="D298" s="558">
        <v>2300</v>
      </c>
      <c r="F298" s="11" t="s">
        <v>1288</v>
      </c>
      <c r="G298" s="698">
        <v>586.13</v>
      </c>
      <c r="H298" s="12" t="s">
        <v>889</v>
      </c>
      <c r="I298" s="12" t="s">
        <v>893</v>
      </c>
      <c r="J298" s="12" t="s">
        <v>918</v>
      </c>
      <c r="K298" s="12" t="s">
        <v>895</v>
      </c>
      <c r="L298" s="12"/>
      <c r="M298" s="11"/>
      <c r="N298" s="11"/>
      <c r="O298" s="11"/>
      <c r="P298" s="11"/>
    </row>
    <row r="299" spans="1:16" x14ac:dyDescent="0.25">
      <c r="A299" s="695">
        <v>56221</v>
      </c>
      <c r="B299" s="558">
        <v>1000</v>
      </c>
      <c r="C299" s="693">
        <v>100</v>
      </c>
      <c r="D299" s="558">
        <v>2310</v>
      </c>
      <c r="F299" s="11" t="s">
        <v>1288</v>
      </c>
      <c r="G299" s="698">
        <v>571.22</v>
      </c>
      <c r="H299" s="12" t="s">
        <v>889</v>
      </c>
      <c r="I299" s="12" t="s">
        <v>893</v>
      </c>
      <c r="J299" s="12" t="s">
        <v>918</v>
      </c>
      <c r="K299" s="12" t="s">
        <v>895</v>
      </c>
      <c r="L299" s="12"/>
      <c r="M299" s="11"/>
      <c r="N299" s="11"/>
      <c r="O299" s="11"/>
      <c r="P299" s="11"/>
    </row>
    <row r="300" spans="1:16" x14ac:dyDescent="0.25">
      <c r="A300" s="695">
        <v>56221</v>
      </c>
      <c r="B300" s="558">
        <v>1000</v>
      </c>
      <c r="C300" s="693">
        <v>100</v>
      </c>
      <c r="D300" s="558">
        <v>2400</v>
      </c>
      <c r="F300" s="11" t="s">
        <v>1288</v>
      </c>
      <c r="G300" s="698">
        <v>9860.9599999999991</v>
      </c>
      <c r="H300" s="12" t="s">
        <v>889</v>
      </c>
      <c r="I300" s="12" t="s">
        <v>893</v>
      </c>
      <c r="J300" s="12" t="s">
        <v>922</v>
      </c>
      <c r="K300" s="12" t="s">
        <v>895</v>
      </c>
      <c r="L300" s="12"/>
      <c r="M300" s="11"/>
      <c r="N300" s="11"/>
      <c r="O300" s="11"/>
      <c r="P300" s="11"/>
    </row>
    <row r="301" spans="1:16" x14ac:dyDescent="0.25">
      <c r="A301" s="695">
        <v>56221</v>
      </c>
      <c r="B301" s="558">
        <v>1000</v>
      </c>
      <c r="C301" s="693">
        <v>100</v>
      </c>
      <c r="D301" s="558">
        <v>2410</v>
      </c>
      <c r="F301" s="11" t="s">
        <v>1288</v>
      </c>
      <c r="G301" s="698">
        <v>1567.73</v>
      </c>
      <c r="H301" s="12" t="s">
        <v>889</v>
      </c>
      <c r="I301" s="12" t="s">
        <v>893</v>
      </c>
      <c r="J301" s="12" t="s">
        <v>922</v>
      </c>
      <c r="K301" s="12" t="s">
        <v>895</v>
      </c>
      <c r="L301" s="12"/>
      <c r="M301" s="11"/>
      <c r="N301" s="11"/>
      <c r="O301" s="11"/>
      <c r="P301" s="11"/>
    </row>
    <row r="302" spans="1:16" x14ac:dyDescent="0.25">
      <c r="A302" s="695">
        <v>56221</v>
      </c>
      <c r="B302" s="558">
        <v>1000</v>
      </c>
      <c r="C302" s="693">
        <v>100</v>
      </c>
      <c r="D302" s="558">
        <v>2500</v>
      </c>
      <c r="F302" s="11" t="s">
        <v>1288</v>
      </c>
      <c r="G302" s="698">
        <v>19407.900000000001</v>
      </c>
      <c r="H302" s="12" t="s">
        <v>889</v>
      </c>
      <c r="I302" s="12" t="s">
        <v>893</v>
      </c>
      <c r="J302" s="12" t="s">
        <v>926</v>
      </c>
      <c r="K302" s="12" t="s">
        <v>895</v>
      </c>
      <c r="L302" s="12"/>
      <c r="M302" s="11"/>
      <c r="N302" s="11"/>
      <c r="O302" s="11"/>
      <c r="P302" s="11"/>
    </row>
    <row r="303" spans="1:16" x14ac:dyDescent="0.25">
      <c r="A303" s="695">
        <v>56221</v>
      </c>
      <c r="B303" s="558">
        <v>1000</v>
      </c>
      <c r="C303" s="693">
        <v>100</v>
      </c>
      <c r="D303" s="558">
        <v>2510</v>
      </c>
      <c r="F303" s="11" t="s">
        <v>1288</v>
      </c>
      <c r="G303" s="698">
        <v>580.57000000000005</v>
      </c>
      <c r="H303" s="12" t="s">
        <v>889</v>
      </c>
      <c r="I303" s="12" t="s">
        <v>893</v>
      </c>
      <c r="J303" s="12" t="s">
        <v>926</v>
      </c>
      <c r="K303" s="12" t="s">
        <v>895</v>
      </c>
      <c r="L303" s="12"/>
      <c r="M303" s="11"/>
      <c r="N303" s="11"/>
      <c r="O303" s="11"/>
      <c r="P303" s="11"/>
    </row>
    <row r="304" spans="1:16" x14ac:dyDescent="0.25">
      <c r="A304" s="695">
        <v>56221</v>
      </c>
      <c r="B304" s="558">
        <v>1000</v>
      </c>
      <c r="C304" s="693">
        <v>100</v>
      </c>
      <c r="D304" s="558">
        <v>2520</v>
      </c>
      <c r="F304" s="11" t="s">
        <v>1288</v>
      </c>
      <c r="G304" s="698">
        <v>470.2</v>
      </c>
      <c r="H304" s="12" t="s">
        <v>889</v>
      </c>
      <c r="I304" s="12" t="s">
        <v>893</v>
      </c>
      <c r="J304" s="12" t="s">
        <v>926</v>
      </c>
      <c r="K304" s="12" t="s">
        <v>895</v>
      </c>
      <c r="L304" s="12"/>
      <c r="M304" s="11"/>
      <c r="N304" s="11"/>
      <c r="O304" s="11"/>
      <c r="P304" s="11"/>
    </row>
    <row r="305" spans="1:16" x14ac:dyDescent="0.25">
      <c r="A305" s="695">
        <v>56221</v>
      </c>
      <c r="B305" s="558">
        <v>1000</v>
      </c>
      <c r="C305" s="693">
        <v>100</v>
      </c>
      <c r="D305" s="558">
        <v>2600</v>
      </c>
      <c r="F305" s="11" t="s">
        <v>1288</v>
      </c>
      <c r="G305" s="698">
        <v>3492.15</v>
      </c>
      <c r="H305" s="12" t="s">
        <v>889</v>
      </c>
      <c r="I305" s="12" t="s">
        <v>893</v>
      </c>
      <c r="J305" s="12" t="s">
        <v>930</v>
      </c>
      <c r="K305" s="12" t="s">
        <v>895</v>
      </c>
      <c r="L305" s="12"/>
      <c r="M305" s="11"/>
      <c r="N305" s="11"/>
      <c r="O305" s="11"/>
      <c r="P305" s="11"/>
    </row>
    <row r="306" spans="1:16" x14ac:dyDescent="0.25">
      <c r="A306" s="695">
        <v>56221</v>
      </c>
      <c r="B306" s="558">
        <v>1000</v>
      </c>
      <c r="C306" s="693">
        <v>100</v>
      </c>
      <c r="D306" s="558">
        <v>2700</v>
      </c>
      <c r="F306" s="11" t="s">
        <v>1288</v>
      </c>
      <c r="G306" s="698">
        <v>0.55000000000000004</v>
      </c>
      <c r="H306" s="12" t="s">
        <v>889</v>
      </c>
      <c r="I306" s="12" t="s">
        <v>913</v>
      </c>
      <c r="J306" s="12" t="s">
        <v>934</v>
      </c>
      <c r="K306" s="12" t="s">
        <v>895</v>
      </c>
      <c r="L306" s="12"/>
      <c r="M306" s="11"/>
      <c r="N306" s="11"/>
      <c r="O306" s="11"/>
      <c r="P306" s="11"/>
    </row>
    <row r="307" spans="1:16" x14ac:dyDescent="0.25">
      <c r="A307" s="695">
        <v>56221</v>
      </c>
      <c r="B307" s="558">
        <v>1000</v>
      </c>
      <c r="C307" s="693">
        <v>100</v>
      </c>
      <c r="D307" s="558">
        <v>3100</v>
      </c>
      <c r="F307" s="11" t="s">
        <v>1288</v>
      </c>
      <c r="G307" s="698">
        <v>2.58</v>
      </c>
      <c r="H307" s="12" t="s">
        <v>889</v>
      </c>
      <c r="I307" s="12" t="s">
        <v>893</v>
      </c>
      <c r="J307" s="12" t="s">
        <v>942</v>
      </c>
      <c r="K307" s="12" t="s">
        <v>895</v>
      </c>
      <c r="L307" s="12"/>
      <c r="M307" s="11"/>
      <c r="N307" s="11"/>
      <c r="O307" s="11"/>
      <c r="P307" s="11"/>
    </row>
    <row r="308" spans="1:16" x14ac:dyDescent="0.25">
      <c r="A308" s="695">
        <v>56221</v>
      </c>
      <c r="B308" s="558">
        <v>1000</v>
      </c>
      <c r="C308" s="693">
        <v>200</v>
      </c>
      <c r="D308" s="558">
        <v>1000</v>
      </c>
      <c r="F308" s="11" t="s">
        <v>1288</v>
      </c>
      <c r="G308" s="698">
        <v>3394.97</v>
      </c>
      <c r="H308" s="12" t="s">
        <v>889</v>
      </c>
      <c r="I308" s="12" t="s">
        <v>897</v>
      </c>
      <c r="J308" s="12" t="s">
        <v>894</v>
      </c>
      <c r="K308" s="12" t="s">
        <v>895</v>
      </c>
      <c r="L308" s="12"/>
      <c r="M308" s="11"/>
      <c r="N308" s="11"/>
      <c r="O308" s="11"/>
      <c r="P308" s="11"/>
    </row>
    <row r="309" spans="1:16" x14ac:dyDescent="0.25">
      <c r="A309" s="695">
        <v>56221</v>
      </c>
      <c r="B309" s="558">
        <v>1000</v>
      </c>
      <c r="C309" s="693">
        <v>200</v>
      </c>
      <c r="D309" s="558">
        <v>2100</v>
      </c>
      <c r="F309" s="11" t="s">
        <v>1288</v>
      </c>
      <c r="G309" s="698">
        <v>728.16</v>
      </c>
      <c r="H309" s="12" t="s">
        <v>889</v>
      </c>
      <c r="I309" s="12" t="s">
        <v>897</v>
      </c>
      <c r="J309" s="12" t="s">
        <v>902</v>
      </c>
      <c r="K309" s="12" t="s">
        <v>895</v>
      </c>
      <c r="L309" s="12"/>
      <c r="M309" s="11"/>
      <c r="N309" s="11"/>
      <c r="O309" s="11"/>
      <c r="P309" s="11"/>
    </row>
    <row r="310" spans="1:16" x14ac:dyDescent="0.25">
      <c r="A310" s="695">
        <v>56221</v>
      </c>
      <c r="B310" s="558">
        <v>1000</v>
      </c>
      <c r="C310" s="693">
        <v>200</v>
      </c>
      <c r="D310" s="558">
        <v>2200</v>
      </c>
      <c r="F310" s="11" t="s">
        <v>1288</v>
      </c>
      <c r="G310" s="698">
        <v>3.08</v>
      </c>
      <c r="H310" s="12" t="s">
        <v>889</v>
      </c>
      <c r="I310" s="12" t="s">
        <v>897</v>
      </c>
      <c r="J310" s="12" t="s">
        <v>906</v>
      </c>
      <c r="K310" s="12" t="s">
        <v>895</v>
      </c>
      <c r="L310" s="12"/>
      <c r="M310" s="11"/>
      <c r="N310" s="11"/>
      <c r="O310" s="11"/>
      <c r="P310" s="11"/>
    </row>
    <row r="311" spans="1:16" x14ac:dyDescent="0.25">
      <c r="A311" s="695">
        <v>56221</v>
      </c>
      <c r="B311" s="558">
        <v>1000</v>
      </c>
      <c r="C311" s="693">
        <v>240</v>
      </c>
      <c r="D311" s="558">
        <v>1000</v>
      </c>
      <c r="F311" s="11" t="s">
        <v>1288</v>
      </c>
      <c r="G311" s="698">
        <v>206.9</v>
      </c>
      <c r="H311" s="12" t="s">
        <v>889</v>
      </c>
      <c r="I311" s="12" t="s">
        <v>897</v>
      </c>
      <c r="J311" s="12" t="s">
        <v>894</v>
      </c>
      <c r="K311" s="12" t="s">
        <v>895</v>
      </c>
      <c r="L311" s="12"/>
      <c r="M311" s="11"/>
      <c r="N311" s="11"/>
      <c r="O311" s="11"/>
      <c r="P311" s="11"/>
    </row>
    <row r="312" spans="1:16" x14ac:dyDescent="0.25">
      <c r="A312" s="695">
        <v>56221</v>
      </c>
      <c r="B312" s="558">
        <v>1000</v>
      </c>
      <c r="C312" s="693">
        <v>260</v>
      </c>
      <c r="D312" s="558">
        <v>1000</v>
      </c>
      <c r="F312" s="11" t="s">
        <v>1288</v>
      </c>
      <c r="G312" s="698">
        <v>15.6</v>
      </c>
      <c r="H312" s="12" t="s">
        <v>889</v>
      </c>
      <c r="I312" s="12" t="s">
        <v>901</v>
      </c>
      <c r="J312" s="12" t="s">
        <v>894</v>
      </c>
      <c r="K312" s="12" t="s">
        <v>895</v>
      </c>
      <c r="L312" s="12"/>
      <c r="M312" s="11"/>
      <c r="N312" s="11"/>
      <c r="O312" s="11"/>
      <c r="P312" s="11"/>
    </row>
    <row r="313" spans="1:16" x14ac:dyDescent="0.25">
      <c r="A313" s="695">
        <v>56221</v>
      </c>
      <c r="B313" s="558">
        <v>1000</v>
      </c>
      <c r="C313" s="693">
        <v>400</v>
      </c>
      <c r="D313" s="558">
        <v>2700</v>
      </c>
      <c r="F313" s="11" t="s">
        <v>1288</v>
      </c>
      <c r="G313" s="698">
        <v>48.48</v>
      </c>
      <c r="H313" s="12" t="s">
        <v>889</v>
      </c>
      <c r="I313" s="12" t="s">
        <v>913</v>
      </c>
      <c r="J313" s="12" t="s">
        <v>934</v>
      </c>
      <c r="K313" s="12" t="s">
        <v>895</v>
      </c>
      <c r="L313" s="12"/>
      <c r="M313" s="11"/>
      <c r="N313" s="11"/>
      <c r="O313" s="11"/>
      <c r="P313" s="11"/>
    </row>
    <row r="314" spans="1:16" x14ac:dyDescent="0.25">
      <c r="A314" s="695">
        <v>56221</v>
      </c>
      <c r="B314" s="558">
        <v>1000</v>
      </c>
      <c r="C314" s="693">
        <v>615</v>
      </c>
      <c r="D314" s="558">
        <v>1000</v>
      </c>
      <c r="F314" s="11" t="s">
        <v>1288</v>
      </c>
      <c r="G314" s="698">
        <v>14.59</v>
      </c>
      <c r="H314" s="12" t="s">
        <v>889</v>
      </c>
      <c r="I314" s="12" t="s">
        <v>937</v>
      </c>
      <c r="J314" s="12" t="s">
        <v>894</v>
      </c>
      <c r="K314" s="12" t="s">
        <v>895</v>
      </c>
      <c r="L314" s="12"/>
      <c r="M314" s="11"/>
      <c r="N314" s="11"/>
      <c r="O314" s="11"/>
      <c r="P314" s="11"/>
    </row>
    <row r="315" spans="1:16" x14ac:dyDescent="0.25">
      <c r="A315" s="695">
        <v>56221</v>
      </c>
      <c r="B315" s="558">
        <v>1000</v>
      </c>
      <c r="C315" s="693">
        <v>620</v>
      </c>
      <c r="D315" s="558">
        <v>1000</v>
      </c>
      <c r="F315" s="11" t="s">
        <v>1288</v>
      </c>
      <c r="G315" s="698">
        <v>183.11</v>
      </c>
      <c r="H315" s="12" t="s">
        <v>889</v>
      </c>
      <c r="I315" s="12" t="s">
        <v>941</v>
      </c>
      <c r="J315" s="12" t="s">
        <v>894</v>
      </c>
      <c r="K315" s="12" t="s">
        <v>895</v>
      </c>
      <c r="L315" s="12"/>
      <c r="M315" s="11"/>
      <c r="N315" s="11"/>
      <c r="O315" s="11"/>
      <c r="P315" s="11"/>
    </row>
    <row r="316" spans="1:16" x14ac:dyDescent="0.25">
      <c r="A316" s="695">
        <v>56221</v>
      </c>
      <c r="B316" s="558">
        <v>1012</v>
      </c>
      <c r="C316" s="693">
        <v>100</v>
      </c>
      <c r="D316" s="558">
        <v>1000</v>
      </c>
      <c r="F316" s="11" t="s">
        <v>1288</v>
      </c>
      <c r="G316" s="698">
        <v>17869.13</v>
      </c>
      <c r="H316" s="12" t="s">
        <v>890</v>
      </c>
      <c r="I316" s="12" t="s">
        <v>893</v>
      </c>
      <c r="J316" s="12" t="s">
        <v>894</v>
      </c>
      <c r="K316" s="12" t="s">
        <v>895</v>
      </c>
      <c r="L316" s="12"/>
      <c r="M316" s="11"/>
      <c r="N316" s="11"/>
      <c r="O316" s="11"/>
      <c r="P316" s="11"/>
    </row>
    <row r="317" spans="1:16" x14ac:dyDescent="0.25">
      <c r="A317" s="695">
        <v>56221</v>
      </c>
      <c r="B317" s="558">
        <v>1012</v>
      </c>
      <c r="C317" s="693">
        <v>100</v>
      </c>
      <c r="D317" s="558">
        <v>2100</v>
      </c>
      <c r="F317" s="11" t="s">
        <v>1288</v>
      </c>
      <c r="G317" s="698">
        <v>598.20000000000005</v>
      </c>
      <c r="H317" s="12" t="s">
        <v>890</v>
      </c>
      <c r="I317" s="12" t="s">
        <v>893</v>
      </c>
      <c r="J317" s="12" t="s">
        <v>902</v>
      </c>
      <c r="K317" s="12" t="s">
        <v>895</v>
      </c>
      <c r="L317" s="12"/>
      <c r="M317" s="11"/>
      <c r="N317" s="11"/>
      <c r="O317" s="11"/>
      <c r="P317" s="11"/>
    </row>
    <row r="318" spans="1:16" x14ac:dyDescent="0.25">
      <c r="A318" s="695">
        <v>56221</v>
      </c>
      <c r="B318" s="558">
        <v>1012</v>
      </c>
      <c r="C318" s="693">
        <v>100</v>
      </c>
      <c r="D318" s="558">
        <v>2200</v>
      </c>
      <c r="F318" s="11" t="s">
        <v>1288</v>
      </c>
      <c r="G318" s="698">
        <v>98.82</v>
      </c>
      <c r="H318" s="12" t="s">
        <v>890</v>
      </c>
      <c r="I318" s="12" t="s">
        <v>893</v>
      </c>
      <c r="J318" s="12" t="s">
        <v>906</v>
      </c>
      <c r="K318" s="12" t="s">
        <v>895</v>
      </c>
      <c r="L318" s="12"/>
      <c r="M318" s="11"/>
      <c r="N318" s="11"/>
      <c r="O318" s="11"/>
      <c r="P318" s="11"/>
    </row>
    <row r="319" spans="1:16" x14ac:dyDescent="0.25">
      <c r="A319" s="695">
        <v>56221</v>
      </c>
      <c r="B319" s="558">
        <v>1012</v>
      </c>
      <c r="C319" s="693">
        <v>200</v>
      </c>
      <c r="D319" s="558">
        <v>1000</v>
      </c>
      <c r="F319" s="11" t="s">
        <v>1288</v>
      </c>
      <c r="G319" s="698">
        <v>94.54</v>
      </c>
      <c r="H319" s="12" t="s">
        <v>890</v>
      </c>
      <c r="I319" s="12" t="s">
        <v>897</v>
      </c>
      <c r="J319" s="12" t="s">
        <v>894</v>
      </c>
      <c r="K319" s="12" t="s">
        <v>895</v>
      </c>
      <c r="L319" s="12"/>
      <c r="M319" s="11"/>
      <c r="N319" s="11"/>
      <c r="O319" s="11"/>
      <c r="P319" s="11"/>
    </row>
    <row r="320" spans="1:16" x14ac:dyDescent="0.25">
      <c r="A320" s="695">
        <v>56221</v>
      </c>
      <c r="B320" s="558">
        <v>1012</v>
      </c>
      <c r="C320" s="693">
        <v>200</v>
      </c>
      <c r="D320" s="558">
        <v>2100</v>
      </c>
      <c r="F320" s="11" t="s">
        <v>1288</v>
      </c>
      <c r="G320" s="698">
        <v>263.13</v>
      </c>
      <c r="H320" s="12" t="s">
        <v>890</v>
      </c>
      <c r="I320" s="12" t="s">
        <v>897</v>
      </c>
      <c r="J320" s="12" t="s">
        <v>902</v>
      </c>
      <c r="K320" s="12" t="s">
        <v>895</v>
      </c>
      <c r="L320" s="12"/>
      <c r="M320" s="11"/>
      <c r="N320" s="11"/>
      <c r="O320" s="11"/>
      <c r="P320" s="11"/>
    </row>
    <row r="321" spans="1:16" x14ac:dyDescent="0.25">
      <c r="A321" s="695">
        <v>56221</v>
      </c>
      <c r="B321" s="558">
        <v>1012</v>
      </c>
      <c r="C321" s="693">
        <v>260</v>
      </c>
      <c r="D321" s="558">
        <v>1000</v>
      </c>
      <c r="F321" s="11" t="s">
        <v>1288</v>
      </c>
      <c r="G321" s="698">
        <v>59.89</v>
      </c>
      <c r="H321" s="12" t="s">
        <v>890</v>
      </c>
      <c r="I321" s="12" t="s">
        <v>901</v>
      </c>
      <c r="J321" s="12" t="s">
        <v>894</v>
      </c>
      <c r="K321" s="12" t="s">
        <v>895</v>
      </c>
      <c r="L321" s="12"/>
      <c r="M321" s="11"/>
      <c r="N321" s="11"/>
      <c r="O321" s="11"/>
      <c r="P321" s="11"/>
    </row>
    <row r="322" spans="1:16" x14ac:dyDescent="0.25">
      <c r="A322" s="695">
        <v>56221</v>
      </c>
      <c r="B322" s="558">
        <v>1190</v>
      </c>
      <c r="C322" s="693">
        <v>260</v>
      </c>
      <c r="D322" s="558">
        <v>1000</v>
      </c>
      <c r="F322" s="11" t="s">
        <v>1288</v>
      </c>
      <c r="G322" s="698">
        <v>0</v>
      </c>
      <c r="H322" s="12" t="s">
        <v>920</v>
      </c>
      <c r="I322" s="12" t="s">
        <v>901</v>
      </c>
      <c r="J322" s="12" t="s">
        <v>894</v>
      </c>
      <c r="K322" s="12" t="s">
        <v>895</v>
      </c>
      <c r="L322" s="12"/>
      <c r="M322" s="11"/>
      <c r="N322" s="11"/>
      <c r="O322" s="11"/>
      <c r="P322" s="11"/>
    </row>
    <row r="323" spans="1:16" x14ac:dyDescent="0.25">
      <c r="A323" s="695">
        <v>56221</v>
      </c>
      <c r="B323" s="558">
        <v>1220</v>
      </c>
      <c r="C323" s="693">
        <v>200</v>
      </c>
      <c r="D323" s="558">
        <v>2100</v>
      </c>
      <c r="F323" s="11" t="s">
        <v>1288</v>
      </c>
      <c r="G323" s="698">
        <v>1203.4000000000001</v>
      </c>
      <c r="H323" s="12" t="s">
        <v>932</v>
      </c>
      <c r="I323" s="12" t="s">
        <v>897</v>
      </c>
      <c r="J323" s="12" t="s">
        <v>902</v>
      </c>
      <c r="K323" s="12" t="s">
        <v>895</v>
      </c>
      <c r="L323" s="12"/>
      <c r="M323" s="11"/>
      <c r="N323" s="11"/>
      <c r="O323" s="11"/>
      <c r="P323" s="11"/>
    </row>
    <row r="324" spans="1:16" x14ac:dyDescent="0.25">
      <c r="A324" s="695">
        <v>56221</v>
      </c>
      <c r="B324" s="558">
        <v>1319</v>
      </c>
      <c r="C324" s="693">
        <v>100</v>
      </c>
      <c r="D324" s="558">
        <v>1000</v>
      </c>
      <c r="F324" s="11" t="s">
        <v>1288</v>
      </c>
      <c r="G324" s="698">
        <v>0</v>
      </c>
      <c r="H324" s="12" t="s">
        <v>968</v>
      </c>
      <c r="I324" s="12" t="s">
        <v>893</v>
      </c>
      <c r="J324" s="12" t="s">
        <v>894</v>
      </c>
      <c r="K324" s="12" t="s">
        <v>895</v>
      </c>
      <c r="L324" s="12"/>
      <c r="M324" s="11"/>
      <c r="N324" s="11"/>
      <c r="O324" s="11"/>
      <c r="P324" s="11"/>
    </row>
    <row r="325" spans="1:16" x14ac:dyDescent="0.25">
      <c r="A325" s="695">
        <v>56221</v>
      </c>
      <c r="B325" s="558">
        <v>1319</v>
      </c>
      <c r="C325" s="693">
        <v>100</v>
      </c>
      <c r="D325" s="558">
        <v>2100</v>
      </c>
      <c r="F325" s="11" t="s">
        <v>1288</v>
      </c>
      <c r="G325" s="698">
        <v>0</v>
      </c>
      <c r="H325" s="12" t="s">
        <v>968</v>
      </c>
      <c r="I325" s="12" t="s">
        <v>893</v>
      </c>
      <c r="J325" s="12" t="s">
        <v>902</v>
      </c>
      <c r="K325" s="12" t="s">
        <v>895</v>
      </c>
      <c r="L325" s="12"/>
      <c r="M325" s="11"/>
      <c r="N325" s="11"/>
      <c r="O325" s="11"/>
      <c r="P325" s="11"/>
    </row>
    <row r="326" spans="1:16" x14ac:dyDescent="0.25">
      <c r="A326" s="695">
        <v>56221</v>
      </c>
      <c r="B326" s="558">
        <v>1319</v>
      </c>
      <c r="C326" s="693">
        <v>260</v>
      </c>
      <c r="D326" s="558">
        <v>1000</v>
      </c>
      <c r="F326" s="11" t="s">
        <v>1288</v>
      </c>
      <c r="G326" s="698">
        <v>0</v>
      </c>
      <c r="H326" s="12" t="s">
        <v>968</v>
      </c>
      <c r="I326" s="12" t="s">
        <v>901</v>
      </c>
      <c r="J326" s="12" t="s">
        <v>894</v>
      </c>
      <c r="K326" s="12" t="s">
        <v>895</v>
      </c>
      <c r="L326" s="12"/>
      <c r="M326" s="11"/>
      <c r="N326" s="11"/>
      <c r="O326" s="11"/>
      <c r="P326" s="11"/>
    </row>
    <row r="327" spans="1:16" x14ac:dyDescent="0.25">
      <c r="A327" s="695">
        <v>56221</v>
      </c>
      <c r="B327" s="558">
        <v>1321</v>
      </c>
      <c r="C327" s="693">
        <v>100</v>
      </c>
      <c r="D327" s="558">
        <v>1000</v>
      </c>
      <c r="F327" s="11" t="s">
        <v>1288</v>
      </c>
      <c r="G327" s="698">
        <v>9659.9699999999993</v>
      </c>
      <c r="H327" s="12" t="s">
        <v>968</v>
      </c>
      <c r="I327" s="12" t="s">
        <v>893</v>
      </c>
      <c r="J327" s="12" t="s">
        <v>894</v>
      </c>
      <c r="K327" s="12" t="s">
        <v>895</v>
      </c>
      <c r="L327" s="12"/>
      <c r="M327" s="11"/>
      <c r="N327" s="11"/>
      <c r="O327" s="11"/>
      <c r="P327" s="11"/>
    </row>
    <row r="328" spans="1:16" x14ac:dyDescent="0.25">
      <c r="A328" s="695">
        <v>56221</v>
      </c>
      <c r="B328" s="558">
        <v>1321</v>
      </c>
      <c r="C328" s="693">
        <v>100</v>
      </c>
      <c r="D328" s="558">
        <v>2100</v>
      </c>
      <c r="F328" s="11" t="s">
        <v>1288</v>
      </c>
      <c r="G328" s="698">
        <v>4066.55</v>
      </c>
      <c r="H328" s="12" t="s">
        <v>968</v>
      </c>
      <c r="I328" s="12" t="s">
        <v>893</v>
      </c>
      <c r="J328" s="12" t="s">
        <v>902</v>
      </c>
      <c r="K328" s="12" t="s">
        <v>895</v>
      </c>
      <c r="L328" s="12"/>
      <c r="M328" s="11"/>
      <c r="N328" s="11"/>
      <c r="O328" s="11"/>
      <c r="P328" s="11"/>
    </row>
    <row r="329" spans="1:16" x14ac:dyDescent="0.25">
      <c r="A329" s="695">
        <v>56221</v>
      </c>
      <c r="B329" s="558">
        <v>1321</v>
      </c>
      <c r="C329" s="693">
        <v>100</v>
      </c>
      <c r="D329" s="558">
        <v>2200</v>
      </c>
      <c r="F329" s="11" t="s">
        <v>1288</v>
      </c>
      <c r="G329" s="698">
        <v>545.49</v>
      </c>
      <c r="H329" s="12" t="s">
        <v>968</v>
      </c>
      <c r="I329" s="12" t="s">
        <v>893</v>
      </c>
      <c r="J329" s="12" t="s">
        <v>906</v>
      </c>
      <c r="K329" s="12" t="s">
        <v>895</v>
      </c>
      <c r="L329" s="12"/>
      <c r="M329" s="11"/>
      <c r="N329" s="11"/>
      <c r="O329" s="11"/>
      <c r="P329" s="11"/>
    </row>
    <row r="330" spans="1:16" x14ac:dyDescent="0.25">
      <c r="A330" s="695">
        <v>56221</v>
      </c>
      <c r="B330" s="558">
        <v>1321</v>
      </c>
      <c r="C330" s="693">
        <v>200</v>
      </c>
      <c r="D330" s="558">
        <v>1000</v>
      </c>
      <c r="F330" s="11" t="s">
        <v>1288</v>
      </c>
      <c r="G330" s="698">
        <v>0</v>
      </c>
      <c r="H330" s="12" t="s">
        <v>968</v>
      </c>
      <c r="I330" s="12" t="s">
        <v>897</v>
      </c>
      <c r="J330" s="12" t="s">
        <v>894</v>
      </c>
      <c r="K330" s="12" t="s">
        <v>895</v>
      </c>
      <c r="L330" s="12"/>
      <c r="M330" s="11"/>
      <c r="N330" s="11"/>
      <c r="O330" s="11"/>
      <c r="P330" s="11"/>
    </row>
    <row r="331" spans="1:16" x14ac:dyDescent="0.25">
      <c r="A331" s="695">
        <v>56221</v>
      </c>
      <c r="B331" s="558">
        <v>1321</v>
      </c>
      <c r="C331" s="693">
        <v>200</v>
      </c>
      <c r="D331" s="558">
        <v>2100</v>
      </c>
      <c r="F331" s="11" t="s">
        <v>1288</v>
      </c>
      <c r="G331" s="698">
        <v>1996.38</v>
      </c>
      <c r="H331" s="12" t="s">
        <v>968</v>
      </c>
      <c r="I331" s="12" t="s">
        <v>897</v>
      </c>
      <c r="J331" s="12" t="s">
        <v>902</v>
      </c>
      <c r="K331" s="12" t="s">
        <v>895</v>
      </c>
      <c r="L331" s="12"/>
      <c r="M331" s="11"/>
      <c r="N331" s="11"/>
      <c r="O331" s="11"/>
      <c r="P331" s="11"/>
    </row>
    <row r="332" spans="1:16" x14ac:dyDescent="0.25">
      <c r="A332" s="695">
        <v>56221</v>
      </c>
      <c r="B332" s="558">
        <v>1321</v>
      </c>
      <c r="C332" s="693">
        <v>260</v>
      </c>
      <c r="D332" s="558">
        <v>1000</v>
      </c>
      <c r="F332" s="11" t="s">
        <v>1288</v>
      </c>
      <c r="G332" s="698">
        <v>1009.07</v>
      </c>
      <c r="H332" s="12" t="s">
        <v>968</v>
      </c>
      <c r="I332" s="12" t="s">
        <v>901</v>
      </c>
      <c r="J332" s="12" t="s">
        <v>894</v>
      </c>
      <c r="K332" s="12" t="s">
        <v>895</v>
      </c>
      <c r="L332" s="12"/>
      <c r="M332" s="11"/>
      <c r="N332" s="11"/>
      <c r="O332" s="11"/>
      <c r="P332" s="11"/>
    </row>
    <row r="333" spans="1:16" x14ac:dyDescent="0.25">
      <c r="A333" s="695">
        <v>56221</v>
      </c>
      <c r="B333" s="558">
        <v>1322</v>
      </c>
      <c r="C333" s="693">
        <v>100</v>
      </c>
      <c r="D333" s="558">
        <v>2500</v>
      </c>
      <c r="F333" s="11" t="s">
        <v>1288</v>
      </c>
      <c r="G333" s="698">
        <v>0</v>
      </c>
      <c r="H333" s="12" t="s">
        <v>968</v>
      </c>
      <c r="I333" s="12" t="s">
        <v>893</v>
      </c>
      <c r="J333" s="12" t="s">
        <v>926</v>
      </c>
      <c r="K333" s="12" t="s">
        <v>895</v>
      </c>
      <c r="L333" s="12"/>
      <c r="M333" s="11"/>
      <c r="N333" s="11"/>
      <c r="O333" s="11"/>
      <c r="P333" s="11"/>
    </row>
    <row r="334" spans="1:16" x14ac:dyDescent="0.25">
      <c r="A334" s="695">
        <v>56221</v>
      </c>
      <c r="B334" s="558">
        <v>1751</v>
      </c>
      <c r="C334" s="693">
        <v>620</v>
      </c>
      <c r="D334" s="558">
        <v>1000</v>
      </c>
      <c r="F334" s="11" t="s">
        <v>1288</v>
      </c>
      <c r="G334" s="698">
        <v>36.549999999999997</v>
      </c>
      <c r="H334" s="12" t="s">
        <v>997</v>
      </c>
      <c r="I334" s="12" t="s">
        <v>941</v>
      </c>
      <c r="J334" s="12" t="s">
        <v>894</v>
      </c>
      <c r="K334" s="12" t="s">
        <v>895</v>
      </c>
      <c r="L334" s="12"/>
      <c r="M334" s="11"/>
      <c r="N334" s="11"/>
      <c r="O334" s="11"/>
      <c r="P334" s="11"/>
    </row>
    <row r="335" spans="1:16" x14ac:dyDescent="0.25">
      <c r="A335" s="695">
        <v>56221</v>
      </c>
      <c r="B335" s="558">
        <v>1871</v>
      </c>
      <c r="C335" s="693">
        <v>615</v>
      </c>
      <c r="D335" s="558">
        <v>1000</v>
      </c>
      <c r="F335" s="11" t="s">
        <v>1288</v>
      </c>
      <c r="G335" s="698">
        <v>7.75</v>
      </c>
      <c r="H335" s="12" t="s">
        <v>997</v>
      </c>
      <c r="I335" s="12" t="s">
        <v>937</v>
      </c>
      <c r="J335" s="12" t="s">
        <v>894</v>
      </c>
      <c r="K335" s="12" t="s">
        <v>895</v>
      </c>
      <c r="L335" s="12"/>
      <c r="M335" s="11"/>
      <c r="N335" s="11"/>
      <c r="O335" s="11"/>
      <c r="P335" s="11"/>
    </row>
    <row r="336" spans="1:16" x14ac:dyDescent="0.25">
      <c r="A336" s="695">
        <v>56221</v>
      </c>
      <c r="B336" s="558">
        <v>1872</v>
      </c>
      <c r="C336" s="693">
        <v>615</v>
      </c>
      <c r="D336" s="558">
        <v>1000</v>
      </c>
      <c r="F336" s="11" t="s">
        <v>1288</v>
      </c>
      <c r="G336" s="698">
        <v>0</v>
      </c>
      <c r="H336" s="12" t="s">
        <v>997</v>
      </c>
      <c r="I336" s="12" t="s">
        <v>937</v>
      </c>
      <c r="J336" s="12" t="s">
        <v>894</v>
      </c>
      <c r="K336" s="12" t="s">
        <v>895</v>
      </c>
      <c r="L336" s="12"/>
      <c r="M336" s="11"/>
      <c r="N336" s="11"/>
      <c r="O336" s="11"/>
      <c r="P336" s="11"/>
    </row>
    <row r="337" spans="1:16" x14ac:dyDescent="0.25">
      <c r="A337" s="695">
        <v>56221</v>
      </c>
      <c r="B337" s="558">
        <v>1910</v>
      </c>
      <c r="C337" s="693">
        <v>615</v>
      </c>
      <c r="D337" s="558">
        <v>1000</v>
      </c>
      <c r="F337" s="11" t="s">
        <v>1288</v>
      </c>
      <c r="G337" s="698">
        <v>23.25</v>
      </c>
      <c r="H337" s="12" t="s">
        <v>997</v>
      </c>
      <c r="I337" s="12" t="s">
        <v>937</v>
      </c>
      <c r="J337" s="12" t="s">
        <v>894</v>
      </c>
      <c r="K337" s="12" t="s">
        <v>895</v>
      </c>
      <c r="L337" s="12"/>
      <c r="M337" s="11"/>
      <c r="N337" s="11"/>
      <c r="O337" s="11"/>
      <c r="P337" s="11"/>
    </row>
    <row r="338" spans="1:16" x14ac:dyDescent="0.25">
      <c r="A338" s="695">
        <v>56221</v>
      </c>
      <c r="B338" s="558" t="s">
        <v>1245</v>
      </c>
      <c r="C338" s="693">
        <v>100</v>
      </c>
      <c r="D338" s="558">
        <v>1000</v>
      </c>
      <c r="F338" s="11" t="s">
        <v>1288</v>
      </c>
      <c r="G338" s="698">
        <v>6319.57</v>
      </c>
      <c r="H338" s="12" t="s">
        <v>904</v>
      </c>
      <c r="I338" s="12" t="s">
        <v>893</v>
      </c>
      <c r="J338" s="12" t="s">
        <v>894</v>
      </c>
      <c r="K338" s="12" t="s">
        <v>895</v>
      </c>
      <c r="L338" s="12"/>
      <c r="M338" s="11"/>
      <c r="N338" s="11"/>
      <c r="O338" s="11"/>
      <c r="P338" s="11"/>
    </row>
    <row r="339" spans="1:16" x14ac:dyDescent="0.25">
      <c r="A339" s="695">
        <v>56221</v>
      </c>
      <c r="B339" s="558" t="s">
        <v>1245</v>
      </c>
      <c r="C339" s="693">
        <v>260</v>
      </c>
      <c r="D339" s="558">
        <v>1000</v>
      </c>
      <c r="F339" s="11" t="s">
        <v>1288</v>
      </c>
      <c r="G339" s="698">
        <v>605.29999999999995</v>
      </c>
      <c r="H339" s="12" t="s">
        <v>904</v>
      </c>
      <c r="I339" s="12" t="s">
        <v>901</v>
      </c>
      <c r="J339" s="12" t="s">
        <v>894</v>
      </c>
      <c r="K339" s="12" t="s">
        <v>895</v>
      </c>
      <c r="L339" s="12"/>
      <c r="M339" s="11"/>
      <c r="N339" s="11"/>
      <c r="O339" s="11"/>
      <c r="P339" s="11"/>
    </row>
    <row r="340" spans="1:16" x14ac:dyDescent="0.25">
      <c r="A340" s="694">
        <v>56221</v>
      </c>
      <c r="B340" s="558" t="s">
        <v>1246</v>
      </c>
      <c r="C340" s="693">
        <v>100</v>
      </c>
      <c r="D340" s="558">
        <v>3100</v>
      </c>
      <c r="F340" s="11" t="s">
        <v>1288</v>
      </c>
      <c r="G340" s="698">
        <v>791.99</v>
      </c>
      <c r="H340" s="12" t="s">
        <v>997</v>
      </c>
      <c r="I340" s="12" t="s">
        <v>893</v>
      </c>
      <c r="J340" s="12" t="s">
        <v>942</v>
      </c>
      <c r="K340" s="12" t="s">
        <v>895</v>
      </c>
      <c r="L340" s="12"/>
      <c r="M340" s="11"/>
      <c r="N340" s="11"/>
      <c r="O340" s="11"/>
      <c r="P340" s="11"/>
    </row>
    <row r="341" spans="1:16" x14ac:dyDescent="0.25">
      <c r="A341" s="695">
        <v>56222</v>
      </c>
      <c r="B341" s="558">
        <v>1000</v>
      </c>
      <c r="C341" s="693">
        <v>100</v>
      </c>
      <c r="D341" s="558">
        <v>1000</v>
      </c>
      <c r="F341" s="11" t="s">
        <v>1289</v>
      </c>
      <c r="G341" s="698">
        <v>15419.61</v>
      </c>
      <c r="H341" s="12" t="s">
        <v>889</v>
      </c>
      <c r="I341" s="12" t="s">
        <v>893</v>
      </c>
      <c r="J341" s="12" t="s">
        <v>894</v>
      </c>
      <c r="K341" s="12" t="s">
        <v>895</v>
      </c>
      <c r="L341" s="12"/>
      <c r="M341" s="11"/>
      <c r="N341" s="11"/>
      <c r="O341" s="11"/>
      <c r="P341" s="11"/>
    </row>
    <row r="342" spans="1:16" x14ac:dyDescent="0.25">
      <c r="A342" s="695">
        <v>56222</v>
      </c>
      <c r="B342" s="558">
        <v>1000</v>
      </c>
      <c r="C342" s="693">
        <v>100</v>
      </c>
      <c r="D342" s="558">
        <v>2100</v>
      </c>
      <c r="F342" s="11" t="s">
        <v>1289</v>
      </c>
      <c r="G342" s="698">
        <v>1550.43</v>
      </c>
      <c r="H342" s="12" t="s">
        <v>889</v>
      </c>
      <c r="I342" s="12" t="s">
        <v>893</v>
      </c>
      <c r="J342" s="12" t="s">
        <v>902</v>
      </c>
      <c r="K342" s="12" t="s">
        <v>895</v>
      </c>
      <c r="L342" s="12"/>
      <c r="M342" s="11"/>
      <c r="N342" s="11"/>
      <c r="O342" s="11"/>
      <c r="P342" s="11"/>
    </row>
    <row r="343" spans="1:16" x14ac:dyDescent="0.25">
      <c r="A343" s="695">
        <v>56222</v>
      </c>
      <c r="B343" s="558">
        <v>1000</v>
      </c>
      <c r="C343" s="693">
        <v>100</v>
      </c>
      <c r="D343" s="558">
        <v>2110</v>
      </c>
      <c r="F343" s="11" t="s">
        <v>1289</v>
      </c>
      <c r="G343" s="698">
        <v>133.81</v>
      </c>
      <c r="H343" s="12" t="s">
        <v>889</v>
      </c>
      <c r="I343" s="12" t="s">
        <v>893</v>
      </c>
      <c r="J343" s="12" t="s">
        <v>902</v>
      </c>
      <c r="K343" s="12" t="s">
        <v>895</v>
      </c>
      <c r="L343" s="12"/>
      <c r="M343" s="11"/>
      <c r="N343" s="11"/>
      <c r="O343" s="11"/>
      <c r="P343" s="11"/>
    </row>
    <row r="344" spans="1:16" x14ac:dyDescent="0.25">
      <c r="A344" s="695">
        <v>56222</v>
      </c>
      <c r="B344" s="558">
        <v>1000</v>
      </c>
      <c r="C344" s="693">
        <v>100</v>
      </c>
      <c r="D344" s="558">
        <v>2200</v>
      </c>
      <c r="F344" s="11" t="s">
        <v>1289</v>
      </c>
      <c r="G344" s="698">
        <v>712.39</v>
      </c>
      <c r="H344" s="12" t="s">
        <v>889</v>
      </c>
      <c r="I344" s="12" t="s">
        <v>893</v>
      </c>
      <c r="J344" s="12" t="s">
        <v>906</v>
      </c>
      <c r="K344" s="12" t="s">
        <v>895</v>
      </c>
      <c r="L344" s="12"/>
      <c r="M344" s="11"/>
      <c r="N344" s="11"/>
      <c r="O344" s="11"/>
      <c r="P344" s="11"/>
    </row>
    <row r="345" spans="1:16" x14ac:dyDescent="0.25">
      <c r="A345" s="695">
        <v>56222</v>
      </c>
      <c r="B345" s="558">
        <v>1000</v>
      </c>
      <c r="C345" s="693">
        <v>100</v>
      </c>
      <c r="D345" s="558">
        <v>2300</v>
      </c>
      <c r="F345" s="11" t="s">
        <v>1289</v>
      </c>
      <c r="G345" s="698">
        <v>139.57</v>
      </c>
      <c r="H345" s="12" t="s">
        <v>889</v>
      </c>
      <c r="I345" s="12" t="s">
        <v>893</v>
      </c>
      <c r="J345" s="12" t="s">
        <v>918</v>
      </c>
      <c r="K345" s="12" t="s">
        <v>895</v>
      </c>
      <c r="L345" s="12"/>
      <c r="M345" s="11"/>
      <c r="N345" s="11"/>
      <c r="O345" s="11"/>
      <c r="P345" s="11"/>
    </row>
    <row r="346" spans="1:16" x14ac:dyDescent="0.25">
      <c r="A346" s="695">
        <v>56222</v>
      </c>
      <c r="B346" s="558">
        <v>1000</v>
      </c>
      <c r="C346" s="693">
        <v>100</v>
      </c>
      <c r="D346" s="558">
        <v>2310</v>
      </c>
      <c r="F346" s="11" t="s">
        <v>1289</v>
      </c>
      <c r="G346" s="698">
        <v>200.68</v>
      </c>
      <c r="H346" s="12" t="s">
        <v>889</v>
      </c>
      <c r="I346" s="12" t="s">
        <v>893</v>
      </c>
      <c r="J346" s="12" t="s">
        <v>918</v>
      </c>
      <c r="K346" s="12" t="s">
        <v>895</v>
      </c>
      <c r="L346" s="12"/>
      <c r="M346" s="11"/>
      <c r="N346" s="11"/>
      <c r="O346" s="11"/>
      <c r="P346" s="11"/>
    </row>
    <row r="347" spans="1:16" x14ac:dyDescent="0.25">
      <c r="A347" s="695">
        <v>56222</v>
      </c>
      <c r="B347" s="558">
        <v>1000</v>
      </c>
      <c r="C347" s="693">
        <v>100</v>
      </c>
      <c r="D347" s="558">
        <v>2400</v>
      </c>
      <c r="F347" s="11" t="s">
        <v>1289</v>
      </c>
      <c r="G347" s="698">
        <v>2321.92</v>
      </c>
      <c r="H347" s="12" t="s">
        <v>889</v>
      </c>
      <c r="I347" s="12" t="s">
        <v>893</v>
      </c>
      <c r="J347" s="12" t="s">
        <v>922</v>
      </c>
      <c r="K347" s="12" t="s">
        <v>895</v>
      </c>
      <c r="L347" s="12"/>
      <c r="M347" s="11"/>
      <c r="N347" s="11"/>
      <c r="O347" s="11"/>
      <c r="P347" s="11"/>
    </row>
    <row r="348" spans="1:16" x14ac:dyDescent="0.25">
      <c r="A348" s="695">
        <v>56222</v>
      </c>
      <c r="B348" s="558">
        <v>1000</v>
      </c>
      <c r="C348" s="693">
        <v>100</v>
      </c>
      <c r="D348" s="558">
        <v>2410</v>
      </c>
      <c r="F348" s="11" t="s">
        <v>1289</v>
      </c>
      <c r="G348" s="698">
        <v>366.61</v>
      </c>
      <c r="H348" s="12" t="s">
        <v>889</v>
      </c>
      <c r="I348" s="12" t="s">
        <v>893</v>
      </c>
      <c r="J348" s="12" t="s">
        <v>922</v>
      </c>
      <c r="K348" s="12" t="s">
        <v>895</v>
      </c>
      <c r="L348" s="12"/>
      <c r="M348" s="11"/>
      <c r="N348" s="11"/>
      <c r="O348" s="11"/>
      <c r="P348" s="11"/>
    </row>
    <row r="349" spans="1:16" x14ac:dyDescent="0.25">
      <c r="A349" s="695">
        <v>56222</v>
      </c>
      <c r="B349" s="558">
        <v>1000</v>
      </c>
      <c r="C349" s="693">
        <v>100</v>
      </c>
      <c r="D349" s="558">
        <v>2500</v>
      </c>
      <c r="F349" s="11" t="s">
        <v>1289</v>
      </c>
      <c r="G349" s="698">
        <v>4580.8</v>
      </c>
      <c r="H349" s="12" t="s">
        <v>889</v>
      </c>
      <c r="I349" s="12" t="s">
        <v>893</v>
      </c>
      <c r="J349" s="12" t="s">
        <v>926</v>
      </c>
      <c r="K349" s="12" t="s">
        <v>895</v>
      </c>
      <c r="L349" s="12"/>
      <c r="M349" s="11"/>
      <c r="N349" s="11"/>
      <c r="O349" s="11"/>
      <c r="P349" s="11"/>
    </row>
    <row r="350" spans="1:16" x14ac:dyDescent="0.25">
      <c r="A350" s="695">
        <v>56222</v>
      </c>
      <c r="B350" s="558">
        <v>1000</v>
      </c>
      <c r="C350" s="693">
        <v>100</v>
      </c>
      <c r="D350" s="558">
        <v>2510</v>
      </c>
      <c r="F350" s="11" t="s">
        <v>1289</v>
      </c>
      <c r="G350" s="698">
        <v>150.12</v>
      </c>
      <c r="H350" s="12" t="s">
        <v>889</v>
      </c>
      <c r="I350" s="12" t="s">
        <v>893</v>
      </c>
      <c r="J350" s="12" t="s">
        <v>926</v>
      </c>
      <c r="K350" s="12" t="s">
        <v>895</v>
      </c>
      <c r="L350" s="12"/>
      <c r="M350" s="11"/>
      <c r="N350" s="11"/>
      <c r="O350" s="11"/>
      <c r="P350" s="11"/>
    </row>
    <row r="351" spans="1:16" x14ac:dyDescent="0.25">
      <c r="A351" s="695">
        <v>56222</v>
      </c>
      <c r="B351" s="558">
        <v>1000</v>
      </c>
      <c r="C351" s="693">
        <v>100</v>
      </c>
      <c r="D351" s="558">
        <v>2520</v>
      </c>
      <c r="F351" s="11" t="s">
        <v>1289</v>
      </c>
      <c r="G351" s="698">
        <v>110.18</v>
      </c>
      <c r="H351" s="12" t="s">
        <v>889</v>
      </c>
      <c r="I351" s="12" t="s">
        <v>893</v>
      </c>
      <c r="J351" s="12" t="s">
        <v>926</v>
      </c>
      <c r="K351" s="12" t="s">
        <v>895</v>
      </c>
      <c r="L351" s="12"/>
      <c r="M351" s="11"/>
      <c r="N351" s="11"/>
      <c r="O351" s="11"/>
      <c r="P351" s="11"/>
    </row>
    <row r="352" spans="1:16" x14ac:dyDescent="0.25">
      <c r="A352" s="695">
        <v>56222</v>
      </c>
      <c r="B352" s="558">
        <v>1000</v>
      </c>
      <c r="C352" s="693">
        <v>100</v>
      </c>
      <c r="D352" s="558">
        <v>2600</v>
      </c>
      <c r="F352" s="11" t="s">
        <v>1289</v>
      </c>
      <c r="G352" s="698">
        <v>813.33</v>
      </c>
      <c r="H352" s="12" t="s">
        <v>889</v>
      </c>
      <c r="I352" s="12" t="s">
        <v>893</v>
      </c>
      <c r="J352" s="12" t="s">
        <v>930</v>
      </c>
      <c r="K352" s="12" t="s">
        <v>895</v>
      </c>
      <c r="L352" s="12"/>
      <c r="M352" s="11"/>
      <c r="N352" s="11"/>
      <c r="O352" s="11"/>
      <c r="P352" s="11"/>
    </row>
    <row r="353" spans="1:16" x14ac:dyDescent="0.25">
      <c r="A353" s="695">
        <v>56222</v>
      </c>
      <c r="B353" s="558">
        <v>1000</v>
      </c>
      <c r="C353" s="693">
        <v>100</v>
      </c>
      <c r="D353" s="558">
        <v>2700</v>
      </c>
      <c r="F353" s="11" t="s">
        <v>1289</v>
      </c>
      <c r="G353" s="698">
        <v>0.13</v>
      </c>
      <c r="H353" s="12" t="s">
        <v>889</v>
      </c>
      <c r="I353" s="12" t="s">
        <v>913</v>
      </c>
      <c r="J353" s="12" t="s">
        <v>934</v>
      </c>
      <c r="K353" s="12" t="s">
        <v>895</v>
      </c>
      <c r="L353" s="12"/>
      <c r="M353" s="11"/>
      <c r="N353" s="11"/>
      <c r="O353" s="11"/>
      <c r="P353" s="11"/>
    </row>
    <row r="354" spans="1:16" x14ac:dyDescent="0.25">
      <c r="A354" s="695">
        <v>56222</v>
      </c>
      <c r="B354" s="558">
        <v>1000</v>
      </c>
      <c r="C354" s="693">
        <v>100</v>
      </c>
      <c r="D354" s="558">
        <v>3100</v>
      </c>
      <c r="F354" s="11" t="s">
        <v>1289</v>
      </c>
      <c r="G354" s="698">
        <v>0.74</v>
      </c>
      <c r="H354" s="12" t="s">
        <v>889</v>
      </c>
      <c r="I354" s="12" t="s">
        <v>893</v>
      </c>
      <c r="J354" s="12" t="s">
        <v>942</v>
      </c>
      <c r="K354" s="12" t="s">
        <v>895</v>
      </c>
      <c r="L354" s="12"/>
      <c r="M354" s="11"/>
      <c r="N354" s="11"/>
      <c r="O354" s="11"/>
      <c r="P354" s="11"/>
    </row>
    <row r="355" spans="1:16" x14ac:dyDescent="0.25">
      <c r="A355" s="695">
        <v>56222</v>
      </c>
      <c r="B355" s="558">
        <v>1000</v>
      </c>
      <c r="C355" s="693">
        <v>200</v>
      </c>
      <c r="D355" s="558">
        <v>1000</v>
      </c>
      <c r="F355" s="11" t="s">
        <v>1289</v>
      </c>
      <c r="G355" s="698">
        <v>793.96</v>
      </c>
      <c r="H355" s="12" t="s">
        <v>889</v>
      </c>
      <c r="I355" s="12" t="s">
        <v>897</v>
      </c>
      <c r="J355" s="12" t="s">
        <v>894</v>
      </c>
      <c r="K355" s="12" t="s">
        <v>895</v>
      </c>
      <c r="L355" s="12"/>
      <c r="M355" s="11"/>
      <c r="N355" s="11"/>
      <c r="O355" s="11"/>
      <c r="P355" s="11"/>
    </row>
    <row r="356" spans="1:16" x14ac:dyDescent="0.25">
      <c r="A356" s="695">
        <v>56222</v>
      </c>
      <c r="B356" s="558">
        <v>1000</v>
      </c>
      <c r="C356" s="693">
        <v>200</v>
      </c>
      <c r="D356" s="558">
        <v>2100</v>
      </c>
      <c r="F356" s="11" t="s">
        <v>1289</v>
      </c>
      <c r="G356" s="698">
        <v>170.34</v>
      </c>
      <c r="H356" s="12" t="s">
        <v>889</v>
      </c>
      <c r="I356" s="12" t="s">
        <v>897</v>
      </c>
      <c r="J356" s="12" t="s">
        <v>902</v>
      </c>
      <c r="K356" s="12" t="s">
        <v>895</v>
      </c>
      <c r="L356" s="12"/>
      <c r="M356" s="11"/>
      <c r="N356" s="11"/>
      <c r="O356" s="11"/>
      <c r="P356" s="11"/>
    </row>
    <row r="357" spans="1:16" x14ac:dyDescent="0.25">
      <c r="A357" s="695">
        <v>56222</v>
      </c>
      <c r="B357" s="558">
        <v>1000</v>
      </c>
      <c r="C357" s="693">
        <v>200</v>
      </c>
      <c r="D357" s="558">
        <v>2200</v>
      </c>
      <c r="F357" s="11" t="s">
        <v>1289</v>
      </c>
      <c r="G357" s="698">
        <v>0.72</v>
      </c>
      <c r="H357" s="12" t="s">
        <v>889</v>
      </c>
      <c r="I357" s="12" t="s">
        <v>897</v>
      </c>
      <c r="J357" s="12" t="s">
        <v>906</v>
      </c>
      <c r="K357" s="12" t="s">
        <v>895</v>
      </c>
      <c r="L357" s="12"/>
      <c r="M357" s="11"/>
      <c r="N357" s="11"/>
      <c r="O357" s="11"/>
      <c r="P357" s="11"/>
    </row>
    <row r="358" spans="1:16" x14ac:dyDescent="0.25">
      <c r="A358" s="695">
        <v>56222</v>
      </c>
      <c r="B358" s="558">
        <v>1000</v>
      </c>
      <c r="C358" s="693">
        <v>240</v>
      </c>
      <c r="D358" s="558">
        <v>1000</v>
      </c>
      <c r="F358" s="11" t="s">
        <v>1289</v>
      </c>
      <c r="G358" s="698">
        <v>48.39</v>
      </c>
      <c r="H358" s="12" t="s">
        <v>889</v>
      </c>
      <c r="I358" s="12" t="s">
        <v>897</v>
      </c>
      <c r="J358" s="12" t="s">
        <v>894</v>
      </c>
      <c r="K358" s="12" t="s">
        <v>895</v>
      </c>
      <c r="L358" s="12"/>
      <c r="M358" s="11"/>
      <c r="N358" s="11"/>
      <c r="O358" s="11"/>
      <c r="P358" s="11"/>
    </row>
    <row r="359" spans="1:16" x14ac:dyDescent="0.25">
      <c r="A359" s="695">
        <v>56222</v>
      </c>
      <c r="B359" s="558">
        <v>1000</v>
      </c>
      <c r="C359" s="693">
        <v>260</v>
      </c>
      <c r="D359" s="558">
        <v>1000</v>
      </c>
      <c r="F359" s="11" t="s">
        <v>1289</v>
      </c>
      <c r="G359" s="698">
        <v>3.66</v>
      </c>
      <c r="H359" s="12" t="s">
        <v>889</v>
      </c>
      <c r="I359" s="12" t="s">
        <v>901</v>
      </c>
      <c r="J359" s="12" t="s">
        <v>894</v>
      </c>
      <c r="K359" s="12" t="s">
        <v>895</v>
      </c>
      <c r="L359" s="12"/>
      <c r="M359" s="11"/>
      <c r="N359" s="11"/>
      <c r="O359" s="11"/>
      <c r="P359" s="11"/>
    </row>
    <row r="360" spans="1:16" x14ac:dyDescent="0.25">
      <c r="A360" s="695">
        <v>56222</v>
      </c>
      <c r="B360" s="558">
        <v>1000</v>
      </c>
      <c r="C360" s="693">
        <v>400</v>
      </c>
      <c r="D360" s="558">
        <v>2700</v>
      </c>
      <c r="F360" s="11" t="s">
        <v>1289</v>
      </c>
      <c r="G360" s="698">
        <v>11.4</v>
      </c>
      <c r="H360" s="12" t="s">
        <v>889</v>
      </c>
      <c r="I360" s="12" t="s">
        <v>913</v>
      </c>
      <c r="J360" s="12" t="s">
        <v>934</v>
      </c>
      <c r="K360" s="12" t="s">
        <v>895</v>
      </c>
      <c r="L360" s="12"/>
      <c r="M360" s="11"/>
      <c r="N360" s="11"/>
      <c r="O360" s="11"/>
      <c r="P360" s="11"/>
    </row>
    <row r="361" spans="1:16" x14ac:dyDescent="0.25">
      <c r="A361" s="695">
        <v>56222</v>
      </c>
      <c r="B361" s="558">
        <v>1000</v>
      </c>
      <c r="C361" s="693">
        <v>615</v>
      </c>
      <c r="D361" s="558">
        <v>1000</v>
      </c>
      <c r="F361" s="11" t="s">
        <v>1289</v>
      </c>
      <c r="G361" s="698">
        <v>3.41</v>
      </c>
      <c r="H361" s="12" t="s">
        <v>889</v>
      </c>
      <c r="I361" s="12" t="s">
        <v>937</v>
      </c>
      <c r="J361" s="12" t="s">
        <v>894</v>
      </c>
      <c r="K361" s="12" t="s">
        <v>895</v>
      </c>
      <c r="L361" s="12"/>
      <c r="M361" s="11"/>
      <c r="N361" s="11"/>
      <c r="O361" s="11"/>
      <c r="P361" s="11"/>
    </row>
    <row r="362" spans="1:16" x14ac:dyDescent="0.25">
      <c r="A362" s="695">
        <v>56222</v>
      </c>
      <c r="B362" s="558">
        <v>1000</v>
      </c>
      <c r="C362" s="693">
        <v>620</v>
      </c>
      <c r="D362" s="558">
        <v>1000</v>
      </c>
      <c r="F362" s="11" t="s">
        <v>1289</v>
      </c>
      <c r="G362" s="698">
        <v>42.82</v>
      </c>
      <c r="H362" s="12" t="s">
        <v>889</v>
      </c>
      <c r="I362" s="12" t="s">
        <v>941</v>
      </c>
      <c r="J362" s="12" t="s">
        <v>894</v>
      </c>
      <c r="K362" s="12" t="s">
        <v>895</v>
      </c>
      <c r="L362" s="12"/>
      <c r="M362" s="11"/>
      <c r="N362" s="11"/>
      <c r="O362" s="11"/>
      <c r="P362" s="11"/>
    </row>
    <row r="363" spans="1:16" x14ac:dyDescent="0.25">
      <c r="A363" s="695">
        <v>56222</v>
      </c>
      <c r="B363" s="558">
        <v>1012</v>
      </c>
      <c r="C363" s="693">
        <v>100</v>
      </c>
      <c r="D363" s="558">
        <v>1000</v>
      </c>
      <c r="F363" s="11" t="s">
        <v>1289</v>
      </c>
      <c r="G363" s="698">
        <v>4179.1499999999996</v>
      </c>
      <c r="H363" s="12" t="s">
        <v>890</v>
      </c>
      <c r="I363" s="12" t="s">
        <v>893</v>
      </c>
      <c r="J363" s="12" t="s">
        <v>894</v>
      </c>
      <c r="K363" s="12" t="s">
        <v>895</v>
      </c>
      <c r="L363" s="12"/>
      <c r="M363" s="11"/>
      <c r="N363" s="11"/>
      <c r="O363" s="11"/>
      <c r="P363" s="11"/>
    </row>
    <row r="364" spans="1:16" x14ac:dyDescent="0.25">
      <c r="A364" s="695">
        <v>56222</v>
      </c>
      <c r="B364" s="558">
        <v>1012</v>
      </c>
      <c r="C364" s="693">
        <v>100</v>
      </c>
      <c r="D364" s="558">
        <v>2100</v>
      </c>
      <c r="F364" s="11" t="s">
        <v>1289</v>
      </c>
      <c r="G364" s="698">
        <v>139.9</v>
      </c>
      <c r="H364" s="12" t="s">
        <v>890</v>
      </c>
      <c r="I364" s="12" t="s">
        <v>893</v>
      </c>
      <c r="J364" s="12" t="s">
        <v>902</v>
      </c>
      <c r="K364" s="12" t="s">
        <v>895</v>
      </c>
      <c r="L364" s="12"/>
      <c r="M364" s="11"/>
      <c r="N364" s="11"/>
      <c r="O364" s="11"/>
      <c r="P364" s="11"/>
    </row>
    <row r="365" spans="1:16" x14ac:dyDescent="0.25">
      <c r="A365" s="695">
        <v>56222</v>
      </c>
      <c r="B365" s="558">
        <v>1012</v>
      </c>
      <c r="C365" s="693">
        <v>100</v>
      </c>
      <c r="D365" s="558">
        <v>2200</v>
      </c>
      <c r="F365" s="11" t="s">
        <v>1289</v>
      </c>
      <c r="G365" s="698">
        <v>23.11</v>
      </c>
      <c r="H365" s="12" t="s">
        <v>890</v>
      </c>
      <c r="I365" s="12" t="s">
        <v>893</v>
      </c>
      <c r="J365" s="12" t="s">
        <v>906</v>
      </c>
      <c r="K365" s="12" t="s">
        <v>895</v>
      </c>
      <c r="L365" s="12"/>
      <c r="M365" s="11"/>
      <c r="N365" s="11"/>
      <c r="O365" s="11"/>
      <c r="P365" s="11"/>
    </row>
    <row r="366" spans="1:16" x14ac:dyDescent="0.25">
      <c r="A366" s="695">
        <v>56222</v>
      </c>
      <c r="B366" s="558">
        <v>1012</v>
      </c>
      <c r="C366" s="693">
        <v>200</v>
      </c>
      <c r="D366" s="558">
        <v>1000</v>
      </c>
      <c r="F366" s="11" t="s">
        <v>1289</v>
      </c>
      <c r="G366" s="698">
        <v>22.11</v>
      </c>
      <c r="H366" s="12" t="s">
        <v>890</v>
      </c>
      <c r="I366" s="12" t="s">
        <v>897</v>
      </c>
      <c r="J366" s="12" t="s">
        <v>894</v>
      </c>
      <c r="K366" s="12" t="s">
        <v>895</v>
      </c>
      <c r="L366" s="12"/>
      <c r="M366" s="11"/>
      <c r="N366" s="11"/>
      <c r="O366" s="11"/>
      <c r="P366" s="11"/>
    </row>
    <row r="367" spans="1:16" x14ac:dyDescent="0.25">
      <c r="A367" s="695">
        <v>56222</v>
      </c>
      <c r="B367" s="558">
        <v>1012</v>
      </c>
      <c r="C367" s="693">
        <v>200</v>
      </c>
      <c r="D367" s="558">
        <v>2100</v>
      </c>
      <c r="F367" s="11" t="s">
        <v>1289</v>
      </c>
      <c r="G367" s="698">
        <v>61.54</v>
      </c>
      <c r="H367" s="12" t="s">
        <v>890</v>
      </c>
      <c r="I367" s="12" t="s">
        <v>897</v>
      </c>
      <c r="J367" s="12" t="s">
        <v>902</v>
      </c>
      <c r="K367" s="12" t="s">
        <v>895</v>
      </c>
      <c r="L367" s="12"/>
      <c r="M367" s="11"/>
      <c r="N367" s="11"/>
      <c r="O367" s="11"/>
      <c r="P367" s="11"/>
    </row>
    <row r="368" spans="1:16" x14ac:dyDescent="0.25">
      <c r="A368" s="695">
        <v>56222</v>
      </c>
      <c r="B368" s="558">
        <v>1012</v>
      </c>
      <c r="C368" s="693">
        <v>260</v>
      </c>
      <c r="D368" s="558">
        <v>1000</v>
      </c>
      <c r="F368" s="11" t="s">
        <v>1289</v>
      </c>
      <c r="G368" s="698">
        <v>14.01</v>
      </c>
      <c r="H368" s="12" t="s">
        <v>890</v>
      </c>
      <c r="I368" s="12" t="s">
        <v>901</v>
      </c>
      <c r="J368" s="12" t="s">
        <v>894</v>
      </c>
      <c r="K368" s="12" t="s">
        <v>895</v>
      </c>
      <c r="L368" s="12"/>
      <c r="M368" s="11"/>
      <c r="N368" s="11"/>
      <c r="O368" s="11"/>
      <c r="P368" s="11"/>
    </row>
    <row r="369" spans="1:16" x14ac:dyDescent="0.25">
      <c r="A369" s="695">
        <v>56222</v>
      </c>
      <c r="B369" s="558">
        <v>1220</v>
      </c>
      <c r="C369" s="693">
        <v>200</v>
      </c>
      <c r="D369" s="558">
        <v>2100</v>
      </c>
      <c r="F369" s="11" t="s">
        <v>1289</v>
      </c>
      <c r="G369" s="698">
        <v>281.45999999999998</v>
      </c>
      <c r="H369" s="12" t="s">
        <v>932</v>
      </c>
      <c r="I369" s="12" t="s">
        <v>897</v>
      </c>
      <c r="J369" s="12" t="s">
        <v>902</v>
      </c>
      <c r="K369" s="12" t="s">
        <v>895</v>
      </c>
      <c r="L369" s="12"/>
      <c r="M369" s="11"/>
      <c r="N369" s="11"/>
      <c r="O369" s="11"/>
      <c r="P369" s="11"/>
    </row>
    <row r="370" spans="1:16" x14ac:dyDescent="0.25">
      <c r="A370" s="695">
        <v>56222</v>
      </c>
      <c r="B370" s="558">
        <v>1319</v>
      </c>
      <c r="C370" s="693">
        <v>100</v>
      </c>
      <c r="D370" s="558">
        <v>1000</v>
      </c>
      <c r="F370" s="11" t="s">
        <v>1289</v>
      </c>
      <c r="G370" s="698">
        <v>0</v>
      </c>
      <c r="H370" s="12" t="s">
        <v>968</v>
      </c>
      <c r="I370" s="12" t="s">
        <v>893</v>
      </c>
      <c r="J370" s="12" t="s">
        <v>894</v>
      </c>
      <c r="K370" s="12" t="s">
        <v>895</v>
      </c>
      <c r="L370" s="12"/>
      <c r="M370" s="11"/>
      <c r="N370" s="11"/>
      <c r="O370" s="11"/>
      <c r="P370" s="11"/>
    </row>
    <row r="371" spans="1:16" x14ac:dyDescent="0.25">
      <c r="A371" s="695">
        <v>56222</v>
      </c>
      <c r="B371" s="558">
        <v>1319</v>
      </c>
      <c r="C371" s="693">
        <v>100</v>
      </c>
      <c r="D371" s="558">
        <v>2100</v>
      </c>
      <c r="F371" s="11" t="s">
        <v>1289</v>
      </c>
      <c r="G371" s="698">
        <v>0</v>
      </c>
      <c r="H371" s="12" t="s">
        <v>968</v>
      </c>
      <c r="I371" s="12" t="s">
        <v>893</v>
      </c>
      <c r="J371" s="12" t="s">
        <v>902</v>
      </c>
      <c r="K371" s="12" t="s">
        <v>895</v>
      </c>
      <c r="L371" s="12"/>
      <c r="M371" s="11"/>
      <c r="N371" s="11"/>
      <c r="O371" s="11"/>
      <c r="P371" s="11"/>
    </row>
    <row r="372" spans="1:16" x14ac:dyDescent="0.25">
      <c r="A372" s="695">
        <v>56222</v>
      </c>
      <c r="B372" s="558">
        <v>1319</v>
      </c>
      <c r="C372" s="693">
        <v>260</v>
      </c>
      <c r="D372" s="558">
        <v>1000</v>
      </c>
      <c r="F372" s="11" t="s">
        <v>1289</v>
      </c>
      <c r="G372" s="698">
        <v>0</v>
      </c>
      <c r="H372" s="12" t="s">
        <v>968</v>
      </c>
      <c r="I372" s="12" t="s">
        <v>901</v>
      </c>
      <c r="J372" s="12" t="s">
        <v>894</v>
      </c>
      <c r="K372" s="12" t="s">
        <v>895</v>
      </c>
      <c r="L372" s="12"/>
      <c r="M372" s="11"/>
      <c r="N372" s="11"/>
      <c r="O372" s="11"/>
      <c r="P372" s="11"/>
    </row>
    <row r="373" spans="1:16" x14ac:dyDescent="0.25">
      <c r="A373" s="695">
        <v>56222</v>
      </c>
      <c r="B373" s="558">
        <v>1321</v>
      </c>
      <c r="C373" s="693">
        <v>100</v>
      </c>
      <c r="D373" s="558">
        <v>1000</v>
      </c>
      <c r="F373" s="11" t="s">
        <v>1289</v>
      </c>
      <c r="G373" s="698">
        <v>2259.16</v>
      </c>
      <c r="H373" s="12" t="s">
        <v>968</v>
      </c>
      <c r="I373" s="12" t="s">
        <v>893</v>
      </c>
      <c r="J373" s="12" t="s">
        <v>894</v>
      </c>
      <c r="K373" s="12" t="s">
        <v>895</v>
      </c>
      <c r="L373" s="12"/>
      <c r="M373" s="11"/>
      <c r="N373" s="11"/>
      <c r="O373" s="11"/>
      <c r="P373" s="11"/>
    </row>
    <row r="374" spans="1:16" x14ac:dyDescent="0.25">
      <c r="A374" s="695">
        <v>56222</v>
      </c>
      <c r="B374" s="558">
        <v>1321</v>
      </c>
      <c r="C374" s="693">
        <v>100</v>
      </c>
      <c r="D374" s="558">
        <v>2100</v>
      </c>
      <c r="F374" s="11" t="s">
        <v>1289</v>
      </c>
      <c r="G374" s="698">
        <v>951.04</v>
      </c>
      <c r="H374" s="12" t="s">
        <v>968</v>
      </c>
      <c r="I374" s="12" t="s">
        <v>893</v>
      </c>
      <c r="J374" s="12" t="s">
        <v>902</v>
      </c>
      <c r="K374" s="12" t="s">
        <v>895</v>
      </c>
      <c r="L374" s="12"/>
      <c r="M374" s="11"/>
      <c r="N374" s="11"/>
      <c r="O374" s="11"/>
      <c r="P374" s="11"/>
    </row>
    <row r="375" spans="1:16" x14ac:dyDescent="0.25">
      <c r="A375" s="695">
        <v>56222</v>
      </c>
      <c r="B375" s="558">
        <v>1321</v>
      </c>
      <c r="C375" s="693">
        <v>100</v>
      </c>
      <c r="D375" s="558">
        <v>2200</v>
      </c>
      <c r="F375" s="11" t="s">
        <v>1289</v>
      </c>
      <c r="G375" s="698">
        <v>127.59</v>
      </c>
      <c r="H375" s="12" t="s">
        <v>968</v>
      </c>
      <c r="I375" s="12" t="s">
        <v>893</v>
      </c>
      <c r="J375" s="12" t="s">
        <v>906</v>
      </c>
      <c r="K375" s="12" t="s">
        <v>895</v>
      </c>
      <c r="L375" s="12"/>
      <c r="M375" s="11"/>
      <c r="N375" s="11"/>
      <c r="O375" s="11"/>
      <c r="P375" s="11"/>
    </row>
    <row r="376" spans="1:16" x14ac:dyDescent="0.25">
      <c r="A376" s="695">
        <v>56222</v>
      </c>
      <c r="B376" s="558">
        <v>1321</v>
      </c>
      <c r="C376" s="693">
        <v>200</v>
      </c>
      <c r="D376" s="558">
        <v>2100</v>
      </c>
      <c r="F376" s="11" t="s">
        <v>1289</v>
      </c>
      <c r="G376" s="698">
        <v>466.96</v>
      </c>
      <c r="H376" s="12" t="s">
        <v>968</v>
      </c>
      <c r="I376" s="12" t="s">
        <v>897</v>
      </c>
      <c r="J376" s="12" t="s">
        <v>902</v>
      </c>
      <c r="K376" s="12" t="s">
        <v>895</v>
      </c>
      <c r="L376" s="12"/>
      <c r="M376" s="11"/>
      <c r="N376" s="11"/>
      <c r="O376" s="11"/>
      <c r="P376" s="11"/>
    </row>
    <row r="377" spans="1:16" x14ac:dyDescent="0.25">
      <c r="A377" s="695">
        <v>56222</v>
      </c>
      <c r="B377" s="558">
        <v>1321</v>
      </c>
      <c r="C377" s="693">
        <v>260</v>
      </c>
      <c r="D377" s="558">
        <v>1000</v>
      </c>
      <c r="F377" s="11" t="s">
        <v>1289</v>
      </c>
      <c r="G377" s="698">
        <v>235.99</v>
      </c>
      <c r="H377" s="12" t="s">
        <v>968</v>
      </c>
      <c r="I377" s="12" t="s">
        <v>901</v>
      </c>
      <c r="J377" s="12" t="s">
        <v>894</v>
      </c>
      <c r="K377" s="12" t="s">
        <v>895</v>
      </c>
      <c r="L377" s="12"/>
      <c r="M377" s="11"/>
      <c r="N377" s="11"/>
      <c r="O377" s="11"/>
      <c r="P377" s="11"/>
    </row>
    <row r="378" spans="1:16" x14ac:dyDescent="0.25">
      <c r="A378" s="695">
        <v>56222</v>
      </c>
      <c r="B378" s="558">
        <v>1322</v>
      </c>
      <c r="C378" s="693">
        <v>100</v>
      </c>
      <c r="D378" s="558">
        <v>2500</v>
      </c>
      <c r="F378" s="11" t="s">
        <v>1289</v>
      </c>
      <c r="G378" s="698">
        <v>0</v>
      </c>
      <c r="H378" s="12" t="s">
        <v>968</v>
      </c>
      <c r="I378" s="12" t="s">
        <v>893</v>
      </c>
      <c r="J378" s="12" t="s">
        <v>926</v>
      </c>
      <c r="K378" s="12" t="s">
        <v>895</v>
      </c>
      <c r="L378" s="12"/>
      <c r="M378" s="11"/>
      <c r="N378" s="11"/>
      <c r="O378" s="11"/>
      <c r="P378" s="11"/>
    </row>
    <row r="379" spans="1:16" x14ac:dyDescent="0.25">
      <c r="A379" s="695">
        <v>56222</v>
      </c>
      <c r="B379" s="558">
        <v>1534</v>
      </c>
      <c r="C379" s="693">
        <v>400</v>
      </c>
      <c r="D379" s="558">
        <v>2700</v>
      </c>
      <c r="F379" s="11" t="s">
        <v>1289</v>
      </c>
      <c r="G379" s="698">
        <v>0</v>
      </c>
      <c r="H379" s="12" t="s">
        <v>997</v>
      </c>
      <c r="I379" s="12" t="s">
        <v>913</v>
      </c>
      <c r="J379" s="12" t="s">
        <v>934</v>
      </c>
      <c r="K379" s="12" t="s">
        <v>895</v>
      </c>
      <c r="L379" s="12"/>
      <c r="M379" s="11"/>
      <c r="N379" s="11"/>
      <c r="O379" s="11"/>
      <c r="P379" s="11"/>
    </row>
    <row r="380" spans="1:16" x14ac:dyDescent="0.25">
      <c r="A380" s="695">
        <v>56222</v>
      </c>
      <c r="B380" s="558">
        <v>1751</v>
      </c>
      <c r="C380" s="693">
        <v>620</v>
      </c>
      <c r="D380" s="558">
        <v>1000</v>
      </c>
      <c r="F380" s="11" t="s">
        <v>1289</v>
      </c>
      <c r="G380" s="698">
        <v>8.5500000000000007</v>
      </c>
      <c r="H380" s="12" t="s">
        <v>997</v>
      </c>
      <c r="I380" s="12" t="s">
        <v>941</v>
      </c>
      <c r="J380" s="12" t="s">
        <v>894</v>
      </c>
      <c r="K380" s="12" t="s">
        <v>895</v>
      </c>
      <c r="L380" s="12"/>
      <c r="M380" s="11"/>
      <c r="N380" s="11"/>
      <c r="O380" s="11"/>
      <c r="P380" s="11"/>
    </row>
    <row r="381" spans="1:16" x14ac:dyDescent="0.25">
      <c r="A381" s="695">
        <v>56222</v>
      </c>
      <c r="B381" s="558">
        <v>1871</v>
      </c>
      <c r="C381" s="693">
        <v>615</v>
      </c>
      <c r="D381" s="558">
        <v>1000</v>
      </c>
      <c r="F381" s="11" t="s">
        <v>1289</v>
      </c>
      <c r="G381" s="698">
        <v>1.81</v>
      </c>
      <c r="H381" s="12" t="s">
        <v>997</v>
      </c>
      <c r="I381" s="12" t="s">
        <v>937</v>
      </c>
      <c r="J381" s="12" t="s">
        <v>894</v>
      </c>
      <c r="K381" s="12" t="s">
        <v>895</v>
      </c>
      <c r="L381" s="12"/>
      <c r="M381" s="11"/>
      <c r="N381" s="11"/>
      <c r="O381" s="11"/>
      <c r="P381" s="11"/>
    </row>
    <row r="382" spans="1:16" x14ac:dyDescent="0.25">
      <c r="A382" s="695">
        <v>56222</v>
      </c>
      <c r="B382" s="558">
        <v>1872</v>
      </c>
      <c r="C382" s="693">
        <v>615</v>
      </c>
      <c r="D382" s="558">
        <v>1000</v>
      </c>
      <c r="F382" s="11" t="s">
        <v>1289</v>
      </c>
      <c r="G382" s="698">
        <v>0</v>
      </c>
      <c r="H382" s="12" t="s">
        <v>997</v>
      </c>
      <c r="I382" s="12" t="s">
        <v>937</v>
      </c>
      <c r="J382" s="12" t="s">
        <v>894</v>
      </c>
      <c r="K382" s="12" t="s">
        <v>895</v>
      </c>
      <c r="L382" s="12"/>
      <c r="M382" s="11"/>
      <c r="N382" s="11"/>
      <c r="O382" s="11"/>
      <c r="P382" s="11"/>
    </row>
    <row r="383" spans="1:16" x14ac:dyDescent="0.25">
      <c r="A383" s="695">
        <v>56222</v>
      </c>
      <c r="B383" s="558">
        <v>1910</v>
      </c>
      <c r="C383" s="693">
        <v>615</v>
      </c>
      <c r="D383" s="558">
        <v>1000</v>
      </c>
      <c r="F383" s="11" t="s">
        <v>1289</v>
      </c>
      <c r="G383" s="698">
        <v>5.43</v>
      </c>
      <c r="H383" s="12" t="s">
        <v>997</v>
      </c>
      <c r="I383" s="12" t="s">
        <v>937</v>
      </c>
      <c r="J383" s="12" t="s">
        <v>894</v>
      </c>
      <c r="K383" s="12" t="s">
        <v>895</v>
      </c>
      <c r="L383" s="12"/>
      <c r="M383" s="11"/>
      <c r="N383" s="11"/>
      <c r="O383" s="11"/>
      <c r="P383" s="11"/>
    </row>
    <row r="384" spans="1:16" x14ac:dyDescent="0.25">
      <c r="A384" s="695">
        <v>56222</v>
      </c>
      <c r="B384" s="558" t="s">
        <v>1245</v>
      </c>
      <c r="C384" s="693">
        <v>100</v>
      </c>
      <c r="D384" s="558">
        <v>1000</v>
      </c>
      <c r="F384" s="11" t="s">
        <v>1289</v>
      </c>
      <c r="G384" s="698">
        <v>1478.02</v>
      </c>
      <c r="H384" s="12" t="s">
        <v>904</v>
      </c>
      <c r="I384" s="12" t="s">
        <v>893</v>
      </c>
      <c r="J384" s="12" t="s">
        <v>894</v>
      </c>
      <c r="K384" s="12" t="s">
        <v>895</v>
      </c>
      <c r="L384" s="12"/>
      <c r="M384" s="11"/>
      <c r="N384" s="11"/>
      <c r="O384" s="11"/>
      <c r="P384" s="11"/>
    </row>
    <row r="385" spans="1:16" x14ac:dyDescent="0.25">
      <c r="A385" s="695">
        <v>56222</v>
      </c>
      <c r="B385" s="558" t="s">
        <v>1245</v>
      </c>
      <c r="C385" s="693">
        <v>260</v>
      </c>
      <c r="D385" s="558">
        <v>1000</v>
      </c>
      <c r="F385" s="11" t="s">
        <v>1289</v>
      </c>
      <c r="G385" s="698">
        <v>141.58000000000001</v>
      </c>
      <c r="H385" s="12" t="s">
        <v>904</v>
      </c>
      <c r="I385" s="12" t="s">
        <v>901</v>
      </c>
      <c r="J385" s="12" t="s">
        <v>894</v>
      </c>
      <c r="K385" s="12" t="s">
        <v>895</v>
      </c>
      <c r="L385" s="12"/>
      <c r="M385" s="11"/>
      <c r="N385" s="11"/>
      <c r="O385" s="11"/>
      <c r="P385" s="11"/>
    </row>
    <row r="386" spans="1:16" x14ac:dyDescent="0.25">
      <c r="A386" s="694">
        <v>56222</v>
      </c>
      <c r="B386" s="558" t="s">
        <v>1246</v>
      </c>
      <c r="C386" s="693">
        <v>100</v>
      </c>
      <c r="D386" s="558">
        <v>3100</v>
      </c>
      <c r="F386" s="11" t="s">
        <v>1289</v>
      </c>
      <c r="G386" s="698">
        <v>185.22</v>
      </c>
      <c r="H386" s="12" t="s">
        <v>997</v>
      </c>
      <c r="I386" s="12" t="s">
        <v>893</v>
      </c>
      <c r="J386" s="12" t="s">
        <v>942</v>
      </c>
      <c r="K386" s="12" t="s">
        <v>895</v>
      </c>
      <c r="L386" s="12"/>
      <c r="M386" s="11"/>
      <c r="N386" s="11"/>
      <c r="O386" s="11"/>
      <c r="P386" s="11"/>
    </row>
    <row r="387" spans="1:16" x14ac:dyDescent="0.25">
      <c r="A387" s="695">
        <v>56231</v>
      </c>
      <c r="B387" s="558">
        <v>1000</v>
      </c>
      <c r="C387" s="693">
        <v>100</v>
      </c>
      <c r="D387" s="558">
        <v>1000</v>
      </c>
      <c r="F387" s="11" t="s">
        <v>1290</v>
      </c>
      <c r="G387" s="698">
        <v>133808.48000000001</v>
      </c>
      <c r="H387" s="12" t="s">
        <v>889</v>
      </c>
      <c r="I387" s="12" t="s">
        <v>893</v>
      </c>
      <c r="J387" s="12" t="s">
        <v>894</v>
      </c>
      <c r="K387" s="12" t="s">
        <v>895</v>
      </c>
      <c r="L387" s="12"/>
      <c r="M387" s="11"/>
      <c r="N387" s="11"/>
      <c r="O387" s="11"/>
      <c r="P387" s="11"/>
    </row>
    <row r="388" spans="1:16" x14ac:dyDescent="0.25">
      <c r="A388" s="695">
        <v>56231</v>
      </c>
      <c r="B388" s="558">
        <v>1000</v>
      </c>
      <c r="C388" s="693">
        <v>100</v>
      </c>
      <c r="D388" s="558">
        <v>2100</v>
      </c>
      <c r="F388" s="11" t="s">
        <v>1290</v>
      </c>
      <c r="G388" s="698">
        <v>13374.58</v>
      </c>
      <c r="H388" s="12" t="s">
        <v>889</v>
      </c>
      <c r="I388" s="12" t="s">
        <v>893</v>
      </c>
      <c r="J388" s="12" t="s">
        <v>902</v>
      </c>
      <c r="K388" s="12" t="s">
        <v>895</v>
      </c>
      <c r="L388" s="12"/>
      <c r="M388" s="11"/>
      <c r="N388" s="11"/>
      <c r="O388" s="11"/>
      <c r="P388" s="11"/>
    </row>
    <row r="389" spans="1:16" x14ac:dyDescent="0.25">
      <c r="A389" s="695">
        <v>56231</v>
      </c>
      <c r="B389" s="558">
        <v>1000</v>
      </c>
      <c r="C389" s="693">
        <v>100</v>
      </c>
      <c r="D389" s="558">
        <v>2110</v>
      </c>
      <c r="F389" s="11" t="s">
        <v>1290</v>
      </c>
      <c r="G389" s="698">
        <v>1141.9100000000001</v>
      </c>
      <c r="H389" s="12" t="s">
        <v>889</v>
      </c>
      <c r="I389" s="12" t="s">
        <v>893</v>
      </c>
      <c r="J389" s="12" t="s">
        <v>902</v>
      </c>
      <c r="K389" s="12" t="s">
        <v>895</v>
      </c>
      <c r="L389" s="12"/>
      <c r="M389" s="11"/>
      <c r="N389" s="11"/>
      <c r="O389" s="11"/>
      <c r="P389" s="11"/>
    </row>
    <row r="390" spans="1:16" x14ac:dyDescent="0.25">
      <c r="A390" s="695">
        <v>56231</v>
      </c>
      <c r="B390" s="558">
        <v>1000</v>
      </c>
      <c r="C390" s="693">
        <v>100</v>
      </c>
      <c r="D390" s="558">
        <v>2200</v>
      </c>
      <c r="F390" s="11" t="s">
        <v>1290</v>
      </c>
      <c r="G390" s="698">
        <v>6047.42</v>
      </c>
      <c r="H390" s="12" t="s">
        <v>889</v>
      </c>
      <c r="I390" s="12" t="s">
        <v>893</v>
      </c>
      <c r="J390" s="12" t="s">
        <v>906</v>
      </c>
      <c r="K390" s="12" t="s">
        <v>895</v>
      </c>
      <c r="L390" s="12"/>
      <c r="M390" s="11"/>
      <c r="N390" s="11"/>
      <c r="O390" s="11"/>
      <c r="P390" s="11"/>
    </row>
    <row r="391" spans="1:16" x14ac:dyDescent="0.25">
      <c r="A391" s="695">
        <v>56231</v>
      </c>
      <c r="B391" s="558">
        <v>1000</v>
      </c>
      <c r="C391" s="693">
        <v>100</v>
      </c>
      <c r="D391" s="558">
        <v>2300</v>
      </c>
      <c r="F391" s="11" t="s">
        <v>1290</v>
      </c>
      <c r="G391" s="698">
        <v>1152.26</v>
      </c>
      <c r="H391" s="12" t="s">
        <v>889</v>
      </c>
      <c r="I391" s="12" t="s">
        <v>893</v>
      </c>
      <c r="J391" s="12" t="s">
        <v>918</v>
      </c>
      <c r="K391" s="12" t="s">
        <v>895</v>
      </c>
      <c r="L391" s="12"/>
      <c r="M391" s="11"/>
      <c r="N391" s="11"/>
      <c r="O391" s="11"/>
      <c r="P391" s="11"/>
    </row>
    <row r="392" spans="1:16" x14ac:dyDescent="0.25">
      <c r="A392" s="695">
        <v>56231</v>
      </c>
      <c r="B392" s="558">
        <v>1000</v>
      </c>
      <c r="C392" s="693">
        <v>100</v>
      </c>
      <c r="D392" s="558">
        <v>2310</v>
      </c>
      <c r="F392" s="11" t="s">
        <v>1290</v>
      </c>
      <c r="G392" s="698">
        <v>1760.03</v>
      </c>
      <c r="H392" s="12" t="s">
        <v>889</v>
      </c>
      <c r="I392" s="12" t="s">
        <v>893</v>
      </c>
      <c r="J392" s="12" t="s">
        <v>918</v>
      </c>
      <c r="K392" s="12" t="s">
        <v>895</v>
      </c>
      <c r="L392" s="12"/>
      <c r="M392" s="11"/>
      <c r="N392" s="11"/>
      <c r="O392" s="11"/>
      <c r="P392" s="11"/>
    </row>
    <row r="393" spans="1:16" x14ac:dyDescent="0.25">
      <c r="A393" s="695">
        <v>56231</v>
      </c>
      <c r="B393" s="558">
        <v>1000</v>
      </c>
      <c r="C393" s="693">
        <v>100</v>
      </c>
      <c r="D393" s="558">
        <v>2400</v>
      </c>
      <c r="F393" s="11" t="s">
        <v>1290</v>
      </c>
      <c r="G393" s="698">
        <v>18339.990000000002</v>
      </c>
      <c r="H393" s="12" t="s">
        <v>889</v>
      </c>
      <c r="I393" s="12" t="s">
        <v>893</v>
      </c>
      <c r="J393" s="12" t="s">
        <v>922</v>
      </c>
      <c r="K393" s="12" t="s">
        <v>895</v>
      </c>
      <c r="L393" s="12"/>
      <c r="M393" s="11"/>
      <c r="N393" s="11"/>
      <c r="O393" s="11"/>
      <c r="P393" s="11"/>
    </row>
    <row r="394" spans="1:16" x14ac:dyDescent="0.25">
      <c r="A394" s="695">
        <v>56231</v>
      </c>
      <c r="B394" s="558">
        <v>1000</v>
      </c>
      <c r="C394" s="693">
        <v>100</v>
      </c>
      <c r="D394" s="558">
        <v>2410</v>
      </c>
      <c r="F394" s="11" t="s">
        <v>1290</v>
      </c>
      <c r="G394" s="698">
        <v>3609.3</v>
      </c>
      <c r="H394" s="12" t="s">
        <v>889</v>
      </c>
      <c r="I394" s="12" t="s">
        <v>893</v>
      </c>
      <c r="J394" s="12" t="s">
        <v>922</v>
      </c>
      <c r="K394" s="12" t="s">
        <v>895</v>
      </c>
      <c r="L394" s="12"/>
      <c r="M394" s="11"/>
      <c r="N394" s="11"/>
      <c r="O394" s="11"/>
      <c r="P394" s="11"/>
    </row>
    <row r="395" spans="1:16" x14ac:dyDescent="0.25">
      <c r="A395" s="695">
        <v>56231</v>
      </c>
      <c r="B395" s="558">
        <v>1000</v>
      </c>
      <c r="C395" s="693">
        <v>100</v>
      </c>
      <c r="D395" s="558">
        <v>2500</v>
      </c>
      <c r="F395" s="11" t="s">
        <v>1290</v>
      </c>
      <c r="G395" s="698">
        <v>41370.9</v>
      </c>
      <c r="H395" s="12" t="s">
        <v>889</v>
      </c>
      <c r="I395" s="12" t="s">
        <v>893</v>
      </c>
      <c r="J395" s="12" t="s">
        <v>926</v>
      </c>
      <c r="K395" s="12" t="s">
        <v>895</v>
      </c>
      <c r="L395" s="12"/>
      <c r="M395" s="11"/>
      <c r="N395" s="11"/>
      <c r="O395" s="11"/>
      <c r="P395" s="11"/>
    </row>
    <row r="396" spans="1:16" x14ac:dyDescent="0.25">
      <c r="A396" s="695">
        <v>56231</v>
      </c>
      <c r="B396" s="558">
        <v>1000</v>
      </c>
      <c r="C396" s="693">
        <v>100</v>
      </c>
      <c r="D396" s="558">
        <v>2510</v>
      </c>
      <c r="F396" s="11" t="s">
        <v>1290</v>
      </c>
      <c r="G396" s="698">
        <v>1282.8</v>
      </c>
      <c r="H396" s="12" t="s">
        <v>889</v>
      </c>
      <c r="I396" s="12" t="s">
        <v>893</v>
      </c>
      <c r="J396" s="12" t="s">
        <v>926</v>
      </c>
      <c r="K396" s="12" t="s">
        <v>895</v>
      </c>
      <c r="L396" s="12"/>
      <c r="M396" s="11"/>
      <c r="N396" s="11"/>
      <c r="O396" s="11"/>
      <c r="P396" s="11"/>
    </row>
    <row r="397" spans="1:16" x14ac:dyDescent="0.25">
      <c r="A397" s="695">
        <v>56231</v>
      </c>
      <c r="B397" s="558">
        <v>1000</v>
      </c>
      <c r="C397" s="693">
        <v>100</v>
      </c>
      <c r="D397" s="558">
        <v>2520</v>
      </c>
      <c r="F397" s="11" t="s">
        <v>1290</v>
      </c>
      <c r="G397" s="698">
        <v>939.25</v>
      </c>
      <c r="H397" s="12" t="s">
        <v>889</v>
      </c>
      <c r="I397" s="12" t="s">
        <v>893</v>
      </c>
      <c r="J397" s="12" t="s">
        <v>926</v>
      </c>
      <c r="K397" s="12" t="s">
        <v>895</v>
      </c>
      <c r="L397" s="12"/>
      <c r="M397" s="11"/>
      <c r="N397" s="11"/>
      <c r="O397" s="11"/>
      <c r="P397" s="11"/>
    </row>
    <row r="398" spans="1:16" x14ac:dyDescent="0.25">
      <c r="A398" s="695">
        <v>56231</v>
      </c>
      <c r="B398" s="558">
        <v>1000</v>
      </c>
      <c r="C398" s="693">
        <v>100</v>
      </c>
      <c r="D398" s="558">
        <v>2600</v>
      </c>
      <c r="F398" s="11" t="s">
        <v>1290</v>
      </c>
      <c r="G398" s="698">
        <v>6879.14</v>
      </c>
      <c r="H398" s="12" t="s">
        <v>889</v>
      </c>
      <c r="I398" s="12" t="s">
        <v>893</v>
      </c>
      <c r="J398" s="12" t="s">
        <v>930</v>
      </c>
      <c r="K398" s="12" t="s">
        <v>895</v>
      </c>
      <c r="L398" s="12"/>
      <c r="M398" s="11"/>
      <c r="N398" s="11"/>
      <c r="O398" s="11"/>
      <c r="P398" s="11"/>
    </row>
    <row r="399" spans="1:16" x14ac:dyDescent="0.25">
      <c r="A399" s="695">
        <v>56231</v>
      </c>
      <c r="B399" s="558">
        <v>1000</v>
      </c>
      <c r="C399" s="693">
        <v>100</v>
      </c>
      <c r="D399" s="558">
        <v>2700</v>
      </c>
      <c r="F399" s="11" t="s">
        <v>1290</v>
      </c>
      <c r="G399" s="698">
        <v>1.0900000000000001</v>
      </c>
      <c r="H399" s="12" t="s">
        <v>889</v>
      </c>
      <c r="I399" s="12" t="s">
        <v>913</v>
      </c>
      <c r="J399" s="12" t="s">
        <v>934</v>
      </c>
      <c r="K399" s="12" t="s">
        <v>895</v>
      </c>
      <c r="L399" s="12"/>
      <c r="M399" s="11"/>
      <c r="N399" s="11"/>
      <c r="O399" s="11"/>
      <c r="P399" s="11"/>
    </row>
    <row r="400" spans="1:16" x14ac:dyDescent="0.25">
      <c r="A400" s="695">
        <v>56231</v>
      </c>
      <c r="B400" s="558">
        <v>1000</v>
      </c>
      <c r="C400" s="693">
        <v>100</v>
      </c>
      <c r="D400" s="558">
        <v>3100</v>
      </c>
      <c r="F400" s="11" t="s">
        <v>1290</v>
      </c>
      <c r="G400" s="698">
        <v>6.22</v>
      </c>
      <c r="H400" s="12" t="s">
        <v>889</v>
      </c>
      <c r="I400" s="12" t="s">
        <v>893</v>
      </c>
      <c r="J400" s="12" t="s">
        <v>942</v>
      </c>
      <c r="K400" s="12" t="s">
        <v>895</v>
      </c>
      <c r="L400" s="12"/>
      <c r="M400" s="11"/>
      <c r="N400" s="11"/>
      <c r="O400" s="11"/>
      <c r="P400" s="11"/>
    </row>
    <row r="401" spans="1:16" x14ac:dyDescent="0.25">
      <c r="A401" s="695">
        <v>56231</v>
      </c>
      <c r="B401" s="558">
        <v>1000</v>
      </c>
      <c r="C401" s="693">
        <v>200</v>
      </c>
      <c r="D401" s="558">
        <v>1000</v>
      </c>
      <c r="F401" s="11" t="s">
        <v>1290</v>
      </c>
      <c r="G401" s="698">
        <v>7082.22</v>
      </c>
      <c r="H401" s="12" t="s">
        <v>889</v>
      </c>
      <c r="I401" s="12" t="s">
        <v>897</v>
      </c>
      <c r="J401" s="12" t="s">
        <v>894</v>
      </c>
      <c r="K401" s="12" t="s">
        <v>895</v>
      </c>
      <c r="L401" s="12"/>
      <c r="M401" s="11"/>
      <c r="N401" s="11"/>
      <c r="O401" s="11"/>
      <c r="P401" s="11"/>
    </row>
    <row r="402" spans="1:16" x14ac:dyDescent="0.25">
      <c r="A402" s="695">
        <v>56231</v>
      </c>
      <c r="B402" s="558">
        <v>1000</v>
      </c>
      <c r="C402" s="693">
        <v>200</v>
      </c>
      <c r="D402" s="558">
        <v>2100</v>
      </c>
      <c r="F402" s="11" t="s">
        <v>1290</v>
      </c>
      <c r="G402" s="698">
        <v>1251.45</v>
      </c>
      <c r="H402" s="12" t="s">
        <v>889</v>
      </c>
      <c r="I402" s="12" t="s">
        <v>897</v>
      </c>
      <c r="J402" s="12" t="s">
        <v>902</v>
      </c>
      <c r="K402" s="12" t="s">
        <v>895</v>
      </c>
      <c r="L402" s="12"/>
      <c r="M402" s="11"/>
      <c r="N402" s="11"/>
      <c r="O402" s="11"/>
      <c r="P402" s="11"/>
    </row>
    <row r="403" spans="1:16" x14ac:dyDescent="0.25">
      <c r="A403" s="695">
        <v>56231</v>
      </c>
      <c r="B403" s="558">
        <v>1000</v>
      </c>
      <c r="C403" s="693">
        <v>240</v>
      </c>
      <c r="D403" s="558">
        <v>1000</v>
      </c>
      <c r="F403" s="11" t="s">
        <v>1290</v>
      </c>
      <c r="G403" s="698">
        <v>405.3</v>
      </c>
      <c r="H403" s="12" t="s">
        <v>889</v>
      </c>
      <c r="I403" s="12" t="s">
        <v>897</v>
      </c>
      <c r="J403" s="12" t="s">
        <v>894</v>
      </c>
      <c r="K403" s="12" t="s">
        <v>895</v>
      </c>
      <c r="L403" s="12"/>
      <c r="M403" s="11"/>
      <c r="N403" s="11"/>
      <c r="O403" s="11"/>
      <c r="P403" s="11"/>
    </row>
    <row r="404" spans="1:16" x14ac:dyDescent="0.25">
      <c r="A404" s="695">
        <v>56231</v>
      </c>
      <c r="B404" s="558">
        <v>1000</v>
      </c>
      <c r="C404" s="693">
        <v>260</v>
      </c>
      <c r="D404" s="558">
        <v>1000</v>
      </c>
      <c r="F404" s="11" t="s">
        <v>1290</v>
      </c>
      <c r="G404" s="698">
        <v>27.17</v>
      </c>
      <c r="H404" s="12" t="s">
        <v>889</v>
      </c>
      <c r="I404" s="12" t="s">
        <v>901</v>
      </c>
      <c r="J404" s="12" t="s">
        <v>894</v>
      </c>
      <c r="K404" s="12" t="s">
        <v>895</v>
      </c>
      <c r="L404" s="12"/>
      <c r="M404" s="11"/>
      <c r="N404" s="11"/>
      <c r="O404" s="11"/>
      <c r="P404" s="11"/>
    </row>
    <row r="405" spans="1:16" x14ac:dyDescent="0.25">
      <c r="A405" s="695">
        <v>56231</v>
      </c>
      <c r="B405" s="558">
        <v>1000</v>
      </c>
      <c r="C405" s="693">
        <v>400</v>
      </c>
      <c r="D405" s="558">
        <v>2700</v>
      </c>
      <c r="F405" s="11" t="s">
        <v>1290</v>
      </c>
      <c r="G405" s="698">
        <v>96.53</v>
      </c>
      <c r="H405" s="12" t="s">
        <v>889</v>
      </c>
      <c r="I405" s="12" t="s">
        <v>913</v>
      </c>
      <c r="J405" s="12" t="s">
        <v>934</v>
      </c>
      <c r="K405" s="12" t="s">
        <v>895</v>
      </c>
      <c r="L405" s="12"/>
      <c r="M405" s="11"/>
      <c r="N405" s="11"/>
      <c r="O405" s="11"/>
      <c r="P405" s="11"/>
    </row>
    <row r="406" spans="1:16" x14ac:dyDescent="0.25">
      <c r="A406" s="695">
        <v>56231</v>
      </c>
      <c r="B406" s="558">
        <v>1000</v>
      </c>
      <c r="C406" s="693">
        <v>615</v>
      </c>
      <c r="D406" s="558">
        <v>1000</v>
      </c>
      <c r="F406" s="11" t="s">
        <v>1290</v>
      </c>
      <c r="G406" s="698">
        <v>28.52</v>
      </c>
      <c r="H406" s="12" t="s">
        <v>889</v>
      </c>
      <c r="I406" s="12" t="s">
        <v>937</v>
      </c>
      <c r="J406" s="12" t="s">
        <v>894</v>
      </c>
      <c r="K406" s="12" t="s">
        <v>895</v>
      </c>
      <c r="L406" s="12"/>
      <c r="M406" s="11"/>
      <c r="N406" s="11"/>
      <c r="O406" s="11"/>
      <c r="P406" s="11"/>
    </row>
    <row r="407" spans="1:16" x14ac:dyDescent="0.25">
      <c r="A407" s="695">
        <v>56231</v>
      </c>
      <c r="B407" s="558">
        <v>1000</v>
      </c>
      <c r="C407" s="693">
        <v>620</v>
      </c>
      <c r="D407" s="558">
        <v>1000</v>
      </c>
      <c r="F407" s="11" t="s">
        <v>1290</v>
      </c>
      <c r="G407" s="698">
        <v>358.54</v>
      </c>
      <c r="H407" s="12" t="s">
        <v>889</v>
      </c>
      <c r="I407" s="12" t="s">
        <v>941</v>
      </c>
      <c r="J407" s="12" t="s">
        <v>894</v>
      </c>
      <c r="K407" s="12" t="s">
        <v>895</v>
      </c>
      <c r="L407" s="12"/>
      <c r="M407" s="11"/>
      <c r="N407" s="11"/>
      <c r="O407" s="11"/>
      <c r="P407" s="11"/>
    </row>
    <row r="408" spans="1:16" x14ac:dyDescent="0.25">
      <c r="A408" s="695">
        <v>56231</v>
      </c>
      <c r="B408" s="558">
        <v>1012</v>
      </c>
      <c r="C408" s="693">
        <v>100</v>
      </c>
      <c r="D408" s="558">
        <v>1000</v>
      </c>
      <c r="F408" s="11" t="s">
        <v>1290</v>
      </c>
      <c r="G408" s="698">
        <v>34988.910000000003</v>
      </c>
      <c r="H408" s="12" t="s">
        <v>890</v>
      </c>
      <c r="I408" s="12" t="s">
        <v>893</v>
      </c>
      <c r="J408" s="12" t="s">
        <v>894</v>
      </c>
      <c r="K408" s="12" t="s">
        <v>895</v>
      </c>
      <c r="L408" s="12"/>
      <c r="M408" s="11"/>
      <c r="N408" s="11"/>
      <c r="O408" s="11"/>
      <c r="P408" s="11"/>
    </row>
    <row r="409" spans="1:16" x14ac:dyDescent="0.25">
      <c r="A409" s="695">
        <v>56231</v>
      </c>
      <c r="B409" s="558">
        <v>1012</v>
      </c>
      <c r="C409" s="693">
        <v>100</v>
      </c>
      <c r="D409" s="558">
        <v>2100</v>
      </c>
      <c r="F409" s="11" t="s">
        <v>1290</v>
      </c>
      <c r="G409" s="698">
        <v>1171.29</v>
      </c>
      <c r="H409" s="12" t="s">
        <v>890</v>
      </c>
      <c r="I409" s="12" t="s">
        <v>893</v>
      </c>
      <c r="J409" s="12" t="s">
        <v>902</v>
      </c>
      <c r="K409" s="12" t="s">
        <v>895</v>
      </c>
      <c r="L409" s="12"/>
      <c r="M409" s="11"/>
      <c r="N409" s="11"/>
      <c r="O409" s="11"/>
      <c r="P409" s="11"/>
    </row>
    <row r="410" spans="1:16" x14ac:dyDescent="0.25">
      <c r="A410" s="695">
        <v>56231</v>
      </c>
      <c r="B410" s="558">
        <v>1012</v>
      </c>
      <c r="C410" s="693">
        <v>100</v>
      </c>
      <c r="D410" s="558">
        <v>2200</v>
      </c>
      <c r="F410" s="11" t="s">
        <v>1290</v>
      </c>
      <c r="G410" s="698">
        <v>193.5</v>
      </c>
      <c r="H410" s="12" t="s">
        <v>890</v>
      </c>
      <c r="I410" s="12" t="s">
        <v>893</v>
      </c>
      <c r="J410" s="12" t="s">
        <v>906</v>
      </c>
      <c r="K410" s="12" t="s">
        <v>895</v>
      </c>
      <c r="L410" s="12"/>
      <c r="M410" s="11"/>
      <c r="N410" s="11"/>
      <c r="O410" s="11"/>
      <c r="P410" s="11"/>
    </row>
    <row r="411" spans="1:16" x14ac:dyDescent="0.25">
      <c r="A411" s="695">
        <v>56231</v>
      </c>
      <c r="B411" s="558">
        <v>1012</v>
      </c>
      <c r="C411" s="693">
        <v>200</v>
      </c>
      <c r="D411" s="558">
        <v>1000</v>
      </c>
      <c r="F411" s="11" t="s">
        <v>1290</v>
      </c>
      <c r="G411" s="698">
        <v>185.12</v>
      </c>
      <c r="H411" s="12" t="s">
        <v>890</v>
      </c>
      <c r="I411" s="12" t="s">
        <v>897</v>
      </c>
      <c r="J411" s="12" t="s">
        <v>894</v>
      </c>
      <c r="K411" s="12" t="s">
        <v>895</v>
      </c>
      <c r="L411" s="12"/>
      <c r="M411" s="11"/>
      <c r="N411" s="11"/>
      <c r="O411" s="11"/>
      <c r="P411" s="11"/>
    </row>
    <row r="412" spans="1:16" x14ac:dyDescent="0.25">
      <c r="A412" s="695">
        <v>56231</v>
      </c>
      <c r="B412" s="558">
        <v>1012</v>
      </c>
      <c r="C412" s="693">
        <v>200</v>
      </c>
      <c r="D412" s="558">
        <v>2100</v>
      </c>
      <c r="F412" s="11" t="s">
        <v>1290</v>
      </c>
      <c r="G412" s="698">
        <v>515.23</v>
      </c>
      <c r="H412" s="12" t="s">
        <v>890</v>
      </c>
      <c r="I412" s="12" t="s">
        <v>897</v>
      </c>
      <c r="J412" s="12" t="s">
        <v>902</v>
      </c>
      <c r="K412" s="12" t="s">
        <v>895</v>
      </c>
      <c r="L412" s="12"/>
      <c r="M412" s="11"/>
      <c r="N412" s="11"/>
      <c r="O412" s="11"/>
      <c r="P412" s="11"/>
    </row>
    <row r="413" spans="1:16" x14ac:dyDescent="0.25">
      <c r="A413" s="695">
        <v>56231</v>
      </c>
      <c r="B413" s="558">
        <v>1012</v>
      </c>
      <c r="C413" s="693">
        <v>260</v>
      </c>
      <c r="D413" s="558">
        <v>1000</v>
      </c>
      <c r="F413" s="11" t="s">
        <v>1290</v>
      </c>
      <c r="G413" s="698">
        <v>117.27</v>
      </c>
      <c r="H413" s="12" t="s">
        <v>890</v>
      </c>
      <c r="I413" s="12" t="s">
        <v>901</v>
      </c>
      <c r="J413" s="12" t="s">
        <v>894</v>
      </c>
      <c r="K413" s="12" t="s">
        <v>895</v>
      </c>
      <c r="L413" s="12"/>
      <c r="M413" s="11"/>
      <c r="N413" s="11"/>
      <c r="O413" s="11"/>
      <c r="P413" s="11"/>
    </row>
    <row r="414" spans="1:16" x14ac:dyDescent="0.25">
      <c r="A414" s="695">
        <v>56231</v>
      </c>
      <c r="B414" s="558">
        <v>1220</v>
      </c>
      <c r="C414" s="693">
        <v>200</v>
      </c>
      <c r="D414" s="558">
        <v>2100</v>
      </c>
      <c r="F414" s="11" t="s">
        <v>1290</v>
      </c>
      <c r="G414" s="698">
        <v>2356.3200000000002</v>
      </c>
      <c r="H414" s="12" t="s">
        <v>932</v>
      </c>
      <c r="I414" s="12" t="s">
        <v>897</v>
      </c>
      <c r="J414" s="12" t="s">
        <v>902</v>
      </c>
      <c r="K414" s="12" t="s">
        <v>895</v>
      </c>
      <c r="L414" s="12"/>
      <c r="M414" s="11"/>
      <c r="N414" s="11"/>
      <c r="O414" s="11"/>
      <c r="P414" s="11"/>
    </row>
    <row r="415" spans="1:16" x14ac:dyDescent="0.25">
      <c r="A415" s="695">
        <v>56231</v>
      </c>
      <c r="B415" s="558">
        <v>1319</v>
      </c>
      <c r="C415" s="693">
        <v>100</v>
      </c>
      <c r="D415" s="558">
        <v>1000</v>
      </c>
      <c r="F415" s="11" t="s">
        <v>1290</v>
      </c>
      <c r="G415" s="698">
        <v>0</v>
      </c>
      <c r="H415" s="12" t="s">
        <v>968</v>
      </c>
      <c r="I415" s="12" t="s">
        <v>893</v>
      </c>
      <c r="J415" s="12" t="s">
        <v>894</v>
      </c>
      <c r="K415" s="12" t="s">
        <v>895</v>
      </c>
      <c r="L415" s="12"/>
      <c r="M415" s="11"/>
      <c r="N415" s="11"/>
      <c r="O415" s="11"/>
      <c r="P415" s="11"/>
    </row>
    <row r="416" spans="1:16" x14ac:dyDescent="0.25">
      <c r="A416" s="695">
        <v>56231</v>
      </c>
      <c r="B416" s="558">
        <v>1319</v>
      </c>
      <c r="C416" s="693">
        <v>100</v>
      </c>
      <c r="D416" s="558">
        <v>2100</v>
      </c>
      <c r="F416" s="11" t="s">
        <v>1290</v>
      </c>
      <c r="G416" s="698">
        <v>0</v>
      </c>
      <c r="H416" s="12" t="s">
        <v>968</v>
      </c>
      <c r="I416" s="12" t="s">
        <v>893</v>
      </c>
      <c r="J416" s="12" t="s">
        <v>902</v>
      </c>
      <c r="K416" s="12" t="s">
        <v>895</v>
      </c>
      <c r="L416" s="12"/>
      <c r="M416" s="11"/>
      <c r="N416" s="11"/>
      <c r="O416" s="11"/>
      <c r="P416" s="11"/>
    </row>
    <row r="417" spans="1:16" x14ac:dyDescent="0.25">
      <c r="A417" s="695">
        <v>56231</v>
      </c>
      <c r="B417" s="558">
        <v>1319</v>
      </c>
      <c r="C417" s="693">
        <v>260</v>
      </c>
      <c r="D417" s="558">
        <v>1000</v>
      </c>
      <c r="F417" s="11" t="s">
        <v>1290</v>
      </c>
      <c r="G417" s="698">
        <v>0</v>
      </c>
      <c r="H417" s="12" t="s">
        <v>968</v>
      </c>
      <c r="I417" s="12" t="s">
        <v>901</v>
      </c>
      <c r="J417" s="12" t="s">
        <v>894</v>
      </c>
      <c r="K417" s="12" t="s">
        <v>895</v>
      </c>
      <c r="L417" s="12"/>
      <c r="M417" s="11"/>
      <c r="N417" s="11"/>
      <c r="O417" s="11"/>
      <c r="P417" s="11"/>
    </row>
    <row r="418" spans="1:16" x14ac:dyDescent="0.25">
      <c r="A418" s="695">
        <v>56231</v>
      </c>
      <c r="B418" s="558">
        <v>1321</v>
      </c>
      <c r="C418" s="693">
        <v>100</v>
      </c>
      <c r="D418" s="558">
        <v>1000</v>
      </c>
      <c r="F418" s="11" t="s">
        <v>1290</v>
      </c>
      <c r="G418" s="698">
        <v>18561.349999999999</v>
      </c>
      <c r="H418" s="12" t="s">
        <v>968</v>
      </c>
      <c r="I418" s="12" t="s">
        <v>893</v>
      </c>
      <c r="J418" s="12" t="s">
        <v>894</v>
      </c>
      <c r="K418" s="12" t="s">
        <v>895</v>
      </c>
      <c r="L418" s="12"/>
      <c r="M418" s="11"/>
      <c r="N418" s="11"/>
      <c r="O418" s="11"/>
      <c r="P418" s="11"/>
    </row>
    <row r="419" spans="1:16" x14ac:dyDescent="0.25">
      <c r="A419" s="695">
        <v>56231</v>
      </c>
      <c r="B419" s="558">
        <v>1321</v>
      </c>
      <c r="C419" s="693">
        <v>100</v>
      </c>
      <c r="D419" s="558">
        <v>2100</v>
      </c>
      <c r="F419" s="11" t="s">
        <v>1290</v>
      </c>
      <c r="G419" s="698">
        <v>8170.93</v>
      </c>
      <c r="H419" s="12" t="s">
        <v>968</v>
      </c>
      <c r="I419" s="12" t="s">
        <v>893</v>
      </c>
      <c r="J419" s="12" t="s">
        <v>902</v>
      </c>
      <c r="K419" s="12" t="s">
        <v>895</v>
      </c>
      <c r="L419" s="12"/>
      <c r="M419" s="11"/>
      <c r="N419" s="11"/>
      <c r="O419" s="11"/>
      <c r="P419" s="11"/>
    </row>
    <row r="420" spans="1:16" x14ac:dyDescent="0.25">
      <c r="A420" s="695">
        <v>56231</v>
      </c>
      <c r="B420" s="558">
        <v>1321</v>
      </c>
      <c r="C420" s="693">
        <v>100</v>
      </c>
      <c r="D420" s="558">
        <v>2200</v>
      </c>
      <c r="F420" s="11" t="s">
        <v>1290</v>
      </c>
      <c r="G420" s="698">
        <v>1083.8499999999999</v>
      </c>
      <c r="H420" s="12" t="s">
        <v>968</v>
      </c>
      <c r="I420" s="12" t="s">
        <v>893</v>
      </c>
      <c r="J420" s="12" t="s">
        <v>906</v>
      </c>
      <c r="K420" s="12" t="s">
        <v>895</v>
      </c>
      <c r="L420" s="12"/>
      <c r="M420" s="11"/>
      <c r="N420" s="11"/>
      <c r="O420" s="11"/>
      <c r="P420" s="11"/>
    </row>
    <row r="421" spans="1:16" x14ac:dyDescent="0.25">
      <c r="A421" s="695">
        <v>56231</v>
      </c>
      <c r="B421" s="558">
        <v>1321</v>
      </c>
      <c r="C421" s="693">
        <v>200</v>
      </c>
      <c r="D421" s="558">
        <v>2100</v>
      </c>
      <c r="F421" s="11" t="s">
        <v>1290</v>
      </c>
      <c r="G421" s="698">
        <v>3923.09</v>
      </c>
      <c r="H421" s="12" t="s">
        <v>968</v>
      </c>
      <c r="I421" s="12" t="s">
        <v>897</v>
      </c>
      <c r="J421" s="12" t="s">
        <v>902</v>
      </c>
      <c r="K421" s="12" t="s">
        <v>895</v>
      </c>
      <c r="L421" s="12"/>
      <c r="M421" s="11"/>
      <c r="N421" s="11"/>
      <c r="O421" s="11"/>
      <c r="P421" s="11"/>
    </row>
    <row r="422" spans="1:16" x14ac:dyDescent="0.25">
      <c r="A422" s="695">
        <v>56231</v>
      </c>
      <c r="B422" s="558">
        <v>1321</v>
      </c>
      <c r="C422" s="693">
        <v>260</v>
      </c>
      <c r="D422" s="558">
        <v>1000</v>
      </c>
      <c r="F422" s="11" t="s">
        <v>1290</v>
      </c>
      <c r="G422" s="698">
        <v>1988.79</v>
      </c>
      <c r="H422" s="12" t="s">
        <v>968</v>
      </c>
      <c r="I422" s="12" t="s">
        <v>901</v>
      </c>
      <c r="J422" s="12" t="s">
        <v>894</v>
      </c>
      <c r="K422" s="12" t="s">
        <v>895</v>
      </c>
      <c r="L422" s="12"/>
      <c r="M422" s="11"/>
      <c r="N422" s="11"/>
      <c r="O422" s="11"/>
      <c r="P422" s="11"/>
    </row>
    <row r="423" spans="1:16" x14ac:dyDescent="0.25">
      <c r="A423" s="695">
        <v>56231</v>
      </c>
      <c r="B423" s="558">
        <v>1322</v>
      </c>
      <c r="C423" s="693">
        <v>100</v>
      </c>
      <c r="D423" s="558">
        <v>2500</v>
      </c>
      <c r="F423" s="11" t="s">
        <v>1290</v>
      </c>
      <c r="G423" s="698">
        <v>0</v>
      </c>
      <c r="H423" s="12" t="s">
        <v>968</v>
      </c>
      <c r="I423" s="12" t="s">
        <v>893</v>
      </c>
      <c r="J423" s="12" t="s">
        <v>926</v>
      </c>
      <c r="K423" s="12" t="s">
        <v>895</v>
      </c>
      <c r="L423" s="12"/>
      <c r="M423" s="11"/>
      <c r="N423" s="11"/>
      <c r="O423" s="11"/>
      <c r="P423" s="11"/>
    </row>
    <row r="424" spans="1:16" x14ac:dyDescent="0.25">
      <c r="A424" s="695">
        <v>56231</v>
      </c>
      <c r="B424" s="558">
        <v>1534</v>
      </c>
      <c r="C424" s="693">
        <v>400</v>
      </c>
      <c r="D424" s="558">
        <v>2700</v>
      </c>
      <c r="F424" s="11" t="s">
        <v>1290</v>
      </c>
      <c r="G424" s="698">
        <v>0</v>
      </c>
      <c r="H424" s="12" t="s">
        <v>997</v>
      </c>
      <c r="I424" s="12" t="s">
        <v>913</v>
      </c>
      <c r="J424" s="12" t="s">
        <v>934</v>
      </c>
      <c r="K424" s="12" t="s">
        <v>895</v>
      </c>
      <c r="L424" s="12"/>
      <c r="M424" s="11"/>
      <c r="N424" s="11"/>
      <c r="O424" s="11"/>
      <c r="P424" s="11"/>
    </row>
    <row r="425" spans="1:16" x14ac:dyDescent="0.25">
      <c r="A425" s="695">
        <v>56231</v>
      </c>
      <c r="B425" s="558">
        <v>1751</v>
      </c>
      <c r="C425" s="693">
        <v>620</v>
      </c>
      <c r="D425" s="558">
        <v>1000</v>
      </c>
      <c r="F425" s="11" t="s">
        <v>1290</v>
      </c>
      <c r="G425" s="698">
        <v>72.84</v>
      </c>
      <c r="H425" s="12" t="s">
        <v>997</v>
      </c>
      <c r="I425" s="12" t="s">
        <v>941</v>
      </c>
      <c r="J425" s="12" t="s">
        <v>894</v>
      </c>
      <c r="K425" s="12" t="s">
        <v>895</v>
      </c>
      <c r="L425" s="12"/>
      <c r="M425" s="11"/>
      <c r="N425" s="11"/>
      <c r="O425" s="11"/>
      <c r="P425" s="11"/>
    </row>
    <row r="426" spans="1:16" x14ac:dyDescent="0.25">
      <c r="A426" s="695">
        <v>56231</v>
      </c>
      <c r="B426" s="558">
        <v>1871</v>
      </c>
      <c r="C426" s="693">
        <v>615</v>
      </c>
      <c r="D426" s="558">
        <v>1000</v>
      </c>
      <c r="F426" s="11" t="s">
        <v>1290</v>
      </c>
      <c r="G426" s="698">
        <v>15.18</v>
      </c>
      <c r="H426" s="12" t="s">
        <v>997</v>
      </c>
      <c r="I426" s="12" t="s">
        <v>937</v>
      </c>
      <c r="J426" s="12" t="s">
        <v>894</v>
      </c>
      <c r="K426" s="12" t="s">
        <v>895</v>
      </c>
      <c r="L426" s="12"/>
      <c r="M426" s="11"/>
      <c r="N426" s="11"/>
      <c r="O426" s="11"/>
      <c r="P426" s="11"/>
    </row>
    <row r="427" spans="1:16" x14ac:dyDescent="0.25">
      <c r="A427" s="695">
        <v>56231</v>
      </c>
      <c r="B427" s="558">
        <v>1872</v>
      </c>
      <c r="C427" s="693">
        <v>615</v>
      </c>
      <c r="D427" s="558">
        <v>1000</v>
      </c>
      <c r="F427" s="11" t="s">
        <v>1290</v>
      </c>
      <c r="G427" s="698">
        <v>0</v>
      </c>
      <c r="H427" s="12" t="s">
        <v>997</v>
      </c>
      <c r="I427" s="12" t="s">
        <v>937</v>
      </c>
      <c r="J427" s="12" t="s">
        <v>894</v>
      </c>
      <c r="K427" s="12" t="s">
        <v>895</v>
      </c>
      <c r="L427" s="12"/>
      <c r="M427" s="11"/>
      <c r="N427" s="11"/>
      <c r="O427" s="11"/>
      <c r="P427" s="11"/>
    </row>
    <row r="428" spans="1:16" x14ac:dyDescent="0.25">
      <c r="A428" s="695">
        <v>56231</v>
      </c>
      <c r="B428" s="558">
        <v>1910</v>
      </c>
      <c r="C428" s="693">
        <v>615</v>
      </c>
      <c r="D428" s="558">
        <v>1000</v>
      </c>
      <c r="F428" s="11" t="s">
        <v>1290</v>
      </c>
      <c r="G428" s="698">
        <v>45.54</v>
      </c>
      <c r="H428" s="12" t="s">
        <v>997</v>
      </c>
      <c r="I428" s="12" t="s">
        <v>937</v>
      </c>
      <c r="J428" s="12" t="s">
        <v>894</v>
      </c>
      <c r="K428" s="12" t="s">
        <v>895</v>
      </c>
      <c r="L428" s="12"/>
      <c r="M428" s="11"/>
      <c r="N428" s="11"/>
      <c r="O428" s="11"/>
      <c r="P428" s="11"/>
    </row>
    <row r="429" spans="1:16" x14ac:dyDescent="0.25">
      <c r="A429" s="695">
        <v>56231</v>
      </c>
      <c r="B429" s="558" t="s">
        <v>1245</v>
      </c>
      <c r="C429" s="693">
        <v>100</v>
      </c>
      <c r="D429" s="558">
        <v>1000</v>
      </c>
      <c r="F429" s="11" t="s">
        <v>1290</v>
      </c>
      <c r="G429" s="698">
        <v>13420.17</v>
      </c>
      <c r="H429" s="12" t="s">
        <v>904</v>
      </c>
      <c r="I429" s="12" t="s">
        <v>893</v>
      </c>
      <c r="J429" s="12" t="s">
        <v>894</v>
      </c>
      <c r="K429" s="12" t="s">
        <v>895</v>
      </c>
      <c r="L429" s="12"/>
      <c r="M429" s="11"/>
      <c r="N429" s="11"/>
      <c r="O429" s="11"/>
      <c r="P429" s="11"/>
    </row>
    <row r="430" spans="1:16" x14ac:dyDescent="0.25">
      <c r="A430" s="695">
        <v>56231</v>
      </c>
      <c r="B430" s="558" t="s">
        <v>1245</v>
      </c>
      <c r="C430" s="693">
        <v>260</v>
      </c>
      <c r="D430" s="558">
        <v>1000</v>
      </c>
      <c r="F430" s="11" t="s">
        <v>1290</v>
      </c>
      <c r="G430" s="698">
        <v>1255.3499999999999</v>
      </c>
      <c r="H430" s="12" t="s">
        <v>904</v>
      </c>
      <c r="I430" s="12" t="s">
        <v>901</v>
      </c>
      <c r="J430" s="12" t="s">
        <v>894</v>
      </c>
      <c r="K430" s="12" t="s">
        <v>895</v>
      </c>
      <c r="L430" s="12"/>
      <c r="M430" s="11"/>
      <c r="N430" s="11"/>
      <c r="O430" s="11"/>
      <c r="P430" s="11"/>
    </row>
    <row r="431" spans="1:16" x14ac:dyDescent="0.25">
      <c r="A431" s="694">
        <v>56231</v>
      </c>
      <c r="B431" s="558" t="s">
        <v>1246</v>
      </c>
      <c r="C431" s="693">
        <v>100</v>
      </c>
      <c r="D431" s="558">
        <v>3100</v>
      </c>
      <c r="F431" s="11" t="s">
        <v>1290</v>
      </c>
      <c r="G431" s="698">
        <v>1575.95</v>
      </c>
      <c r="H431" s="12" t="s">
        <v>997</v>
      </c>
      <c r="I431" s="12" t="s">
        <v>893</v>
      </c>
      <c r="J431" s="12" t="s">
        <v>942</v>
      </c>
      <c r="K431" s="12" t="s">
        <v>895</v>
      </c>
      <c r="L431" s="12"/>
      <c r="M431" s="11"/>
      <c r="N431" s="11"/>
      <c r="O431" s="11"/>
      <c r="P431" s="11"/>
    </row>
    <row r="432" spans="1:16" x14ac:dyDescent="0.25">
      <c r="A432" s="695">
        <v>56232</v>
      </c>
      <c r="B432" s="558">
        <v>1000</v>
      </c>
      <c r="C432" s="693">
        <v>100</v>
      </c>
      <c r="D432" s="558">
        <v>1000</v>
      </c>
      <c r="F432" s="11" t="s">
        <v>1291</v>
      </c>
      <c r="G432" s="698">
        <v>1629.32</v>
      </c>
      <c r="H432" s="12" t="s">
        <v>889</v>
      </c>
      <c r="I432" s="12" t="s">
        <v>893</v>
      </c>
      <c r="J432" s="12" t="s">
        <v>894</v>
      </c>
      <c r="K432" s="12" t="s">
        <v>895</v>
      </c>
      <c r="L432" s="12"/>
      <c r="M432" s="11"/>
      <c r="N432" s="11"/>
      <c r="O432" s="11"/>
      <c r="P432" s="11"/>
    </row>
    <row r="433" spans="1:16" x14ac:dyDescent="0.25">
      <c r="A433" s="695">
        <v>56232</v>
      </c>
      <c r="B433" s="558">
        <v>1000</v>
      </c>
      <c r="C433" s="693">
        <v>100</v>
      </c>
      <c r="D433" s="558">
        <v>2100</v>
      </c>
      <c r="F433" s="11" t="s">
        <v>1291</v>
      </c>
      <c r="G433" s="698">
        <v>163.53</v>
      </c>
      <c r="H433" s="12" t="s">
        <v>889</v>
      </c>
      <c r="I433" s="12" t="s">
        <v>893</v>
      </c>
      <c r="J433" s="12" t="s">
        <v>902</v>
      </c>
      <c r="K433" s="12" t="s">
        <v>895</v>
      </c>
      <c r="L433" s="12"/>
      <c r="M433" s="11"/>
      <c r="N433" s="11"/>
      <c r="O433" s="11"/>
      <c r="P433" s="11"/>
    </row>
    <row r="434" spans="1:16" x14ac:dyDescent="0.25">
      <c r="A434" s="695">
        <v>56232</v>
      </c>
      <c r="B434" s="558">
        <v>1000</v>
      </c>
      <c r="C434" s="693">
        <v>100</v>
      </c>
      <c r="D434" s="558">
        <v>2110</v>
      </c>
      <c r="F434" s="11" t="s">
        <v>1291</v>
      </c>
      <c r="G434" s="698">
        <v>14.14</v>
      </c>
      <c r="H434" s="12" t="s">
        <v>889</v>
      </c>
      <c r="I434" s="12" t="s">
        <v>893</v>
      </c>
      <c r="J434" s="12" t="s">
        <v>902</v>
      </c>
      <c r="K434" s="12" t="s">
        <v>895</v>
      </c>
      <c r="L434" s="12"/>
      <c r="M434" s="11"/>
      <c r="N434" s="11"/>
      <c r="O434" s="11"/>
      <c r="P434" s="11"/>
    </row>
    <row r="435" spans="1:16" x14ac:dyDescent="0.25">
      <c r="A435" s="695">
        <v>56232</v>
      </c>
      <c r="B435" s="558">
        <v>1000</v>
      </c>
      <c r="C435" s="693">
        <v>100</v>
      </c>
      <c r="D435" s="558">
        <v>2200</v>
      </c>
      <c r="F435" s="11" t="s">
        <v>1291</v>
      </c>
      <c r="G435" s="698">
        <v>74.489999999999995</v>
      </c>
      <c r="H435" s="12" t="s">
        <v>889</v>
      </c>
      <c r="I435" s="12" t="s">
        <v>893</v>
      </c>
      <c r="J435" s="12" t="s">
        <v>906</v>
      </c>
      <c r="K435" s="12" t="s">
        <v>895</v>
      </c>
      <c r="L435" s="12"/>
      <c r="M435" s="11"/>
      <c r="N435" s="11"/>
      <c r="O435" s="11"/>
      <c r="P435" s="11"/>
    </row>
    <row r="436" spans="1:16" x14ac:dyDescent="0.25">
      <c r="A436" s="695">
        <v>56232</v>
      </c>
      <c r="B436" s="558">
        <v>1000</v>
      </c>
      <c r="C436" s="693">
        <v>100</v>
      </c>
      <c r="D436" s="558">
        <v>2300</v>
      </c>
      <c r="F436" s="11" t="s">
        <v>1291</v>
      </c>
      <c r="G436" s="698">
        <v>14.22</v>
      </c>
      <c r="H436" s="12" t="s">
        <v>889</v>
      </c>
      <c r="I436" s="12" t="s">
        <v>893</v>
      </c>
      <c r="J436" s="12" t="s">
        <v>918</v>
      </c>
      <c r="K436" s="12" t="s">
        <v>895</v>
      </c>
      <c r="L436" s="12"/>
      <c r="M436" s="11"/>
      <c r="N436" s="11"/>
      <c r="O436" s="11"/>
      <c r="P436" s="11"/>
    </row>
    <row r="437" spans="1:16" x14ac:dyDescent="0.25">
      <c r="A437" s="695">
        <v>56232</v>
      </c>
      <c r="B437" s="558">
        <v>1000</v>
      </c>
      <c r="C437" s="693">
        <v>100</v>
      </c>
      <c r="D437" s="558">
        <v>2310</v>
      </c>
      <c r="F437" s="11" t="s">
        <v>1291</v>
      </c>
      <c r="G437" s="698">
        <v>21.7</v>
      </c>
      <c r="H437" s="12" t="s">
        <v>889</v>
      </c>
      <c r="I437" s="12" t="s">
        <v>893</v>
      </c>
      <c r="J437" s="12" t="s">
        <v>918</v>
      </c>
      <c r="K437" s="12" t="s">
        <v>895</v>
      </c>
      <c r="L437" s="12"/>
      <c r="M437" s="11"/>
      <c r="N437" s="11"/>
      <c r="O437" s="11"/>
      <c r="P437" s="11"/>
    </row>
    <row r="438" spans="1:16" x14ac:dyDescent="0.25">
      <c r="A438" s="695">
        <v>56232</v>
      </c>
      <c r="B438" s="558">
        <v>1000</v>
      </c>
      <c r="C438" s="693">
        <v>100</v>
      </c>
      <c r="D438" s="558">
        <v>2400</v>
      </c>
      <c r="F438" s="11" t="s">
        <v>1291</v>
      </c>
      <c r="G438" s="698">
        <v>225.72</v>
      </c>
      <c r="H438" s="12" t="s">
        <v>889</v>
      </c>
      <c r="I438" s="12" t="s">
        <v>893</v>
      </c>
      <c r="J438" s="12" t="s">
        <v>922</v>
      </c>
      <c r="K438" s="12" t="s">
        <v>895</v>
      </c>
      <c r="L438" s="12"/>
      <c r="M438" s="11"/>
      <c r="N438" s="11"/>
      <c r="O438" s="11"/>
      <c r="P438" s="11"/>
    </row>
    <row r="439" spans="1:16" x14ac:dyDescent="0.25">
      <c r="A439" s="695">
        <v>56232</v>
      </c>
      <c r="B439" s="558">
        <v>1000</v>
      </c>
      <c r="C439" s="693">
        <v>100</v>
      </c>
      <c r="D439" s="558">
        <v>2410</v>
      </c>
      <c r="F439" s="11" t="s">
        <v>1291</v>
      </c>
      <c r="G439" s="698">
        <v>44.5</v>
      </c>
      <c r="H439" s="12" t="s">
        <v>889</v>
      </c>
      <c r="I439" s="12" t="s">
        <v>893</v>
      </c>
      <c r="J439" s="12" t="s">
        <v>922</v>
      </c>
      <c r="K439" s="12" t="s">
        <v>895</v>
      </c>
      <c r="L439" s="12"/>
      <c r="M439" s="11"/>
      <c r="N439" s="11"/>
      <c r="O439" s="11"/>
      <c r="P439" s="11"/>
    </row>
    <row r="440" spans="1:16" x14ac:dyDescent="0.25">
      <c r="A440" s="695">
        <v>56232</v>
      </c>
      <c r="B440" s="558">
        <v>1000</v>
      </c>
      <c r="C440" s="693">
        <v>100</v>
      </c>
      <c r="D440" s="558">
        <v>2500</v>
      </c>
      <c r="F440" s="11" t="s">
        <v>1291</v>
      </c>
      <c r="G440" s="698">
        <v>502.62</v>
      </c>
      <c r="H440" s="12" t="s">
        <v>889</v>
      </c>
      <c r="I440" s="12" t="s">
        <v>893</v>
      </c>
      <c r="J440" s="12" t="s">
        <v>926</v>
      </c>
      <c r="K440" s="12" t="s">
        <v>895</v>
      </c>
      <c r="L440" s="12"/>
      <c r="M440" s="11"/>
      <c r="N440" s="11"/>
      <c r="O440" s="11"/>
      <c r="P440" s="11"/>
    </row>
    <row r="441" spans="1:16" x14ac:dyDescent="0.25">
      <c r="A441" s="695">
        <v>56232</v>
      </c>
      <c r="B441" s="558">
        <v>1000</v>
      </c>
      <c r="C441" s="693">
        <v>100</v>
      </c>
      <c r="D441" s="558">
        <v>2510</v>
      </c>
      <c r="F441" s="11" t="s">
        <v>1291</v>
      </c>
      <c r="G441" s="698">
        <v>15.72</v>
      </c>
      <c r="H441" s="12" t="s">
        <v>889</v>
      </c>
      <c r="I441" s="12" t="s">
        <v>893</v>
      </c>
      <c r="J441" s="12" t="s">
        <v>926</v>
      </c>
      <c r="K441" s="12" t="s">
        <v>895</v>
      </c>
      <c r="L441" s="12"/>
      <c r="M441" s="11"/>
      <c r="N441" s="11"/>
      <c r="O441" s="11"/>
      <c r="P441" s="11"/>
    </row>
    <row r="442" spans="1:16" x14ac:dyDescent="0.25">
      <c r="A442" s="695">
        <v>56232</v>
      </c>
      <c r="B442" s="558">
        <v>1000</v>
      </c>
      <c r="C442" s="693">
        <v>100</v>
      </c>
      <c r="D442" s="558">
        <v>2520</v>
      </c>
      <c r="F442" s="11" t="s">
        <v>1291</v>
      </c>
      <c r="G442" s="698">
        <v>11.48</v>
      </c>
      <c r="H442" s="12" t="s">
        <v>889</v>
      </c>
      <c r="I442" s="12" t="s">
        <v>893</v>
      </c>
      <c r="J442" s="12" t="s">
        <v>926</v>
      </c>
      <c r="K442" s="12" t="s">
        <v>895</v>
      </c>
      <c r="L442" s="12"/>
      <c r="M442" s="11"/>
      <c r="N442" s="11"/>
      <c r="O442" s="11"/>
      <c r="P442" s="11"/>
    </row>
    <row r="443" spans="1:16" x14ac:dyDescent="0.25">
      <c r="A443" s="695">
        <v>56232</v>
      </c>
      <c r="B443" s="558">
        <v>1000</v>
      </c>
      <c r="C443" s="693">
        <v>100</v>
      </c>
      <c r="D443" s="558">
        <v>2600</v>
      </c>
      <c r="F443" s="11" t="s">
        <v>1291</v>
      </c>
      <c r="G443" s="698">
        <v>84.32</v>
      </c>
      <c r="H443" s="12" t="s">
        <v>889</v>
      </c>
      <c r="I443" s="12" t="s">
        <v>893</v>
      </c>
      <c r="J443" s="12" t="s">
        <v>930</v>
      </c>
      <c r="K443" s="12" t="s">
        <v>895</v>
      </c>
      <c r="L443" s="12"/>
      <c r="M443" s="11"/>
      <c r="N443" s="11"/>
      <c r="O443" s="11"/>
      <c r="P443" s="11"/>
    </row>
    <row r="444" spans="1:16" x14ac:dyDescent="0.25">
      <c r="A444" s="695">
        <v>56232</v>
      </c>
      <c r="B444" s="558">
        <v>1000</v>
      </c>
      <c r="C444" s="693">
        <v>100</v>
      </c>
      <c r="D444" s="558">
        <v>2700</v>
      </c>
      <c r="F444" s="11" t="s">
        <v>1291</v>
      </c>
      <c r="G444" s="698">
        <v>0.01</v>
      </c>
      <c r="H444" s="12" t="s">
        <v>889</v>
      </c>
      <c r="I444" s="12" t="s">
        <v>913</v>
      </c>
      <c r="J444" s="12" t="s">
        <v>934</v>
      </c>
      <c r="K444" s="12" t="s">
        <v>895</v>
      </c>
      <c r="L444" s="12"/>
      <c r="M444" s="11"/>
      <c r="N444" s="11"/>
      <c r="O444" s="11"/>
      <c r="P444" s="11"/>
    </row>
    <row r="445" spans="1:16" x14ac:dyDescent="0.25">
      <c r="A445" s="695">
        <v>56232</v>
      </c>
      <c r="B445" s="558">
        <v>1000</v>
      </c>
      <c r="C445" s="693">
        <v>100</v>
      </c>
      <c r="D445" s="558">
        <v>3100</v>
      </c>
      <c r="F445" s="11" t="s">
        <v>1291</v>
      </c>
      <c r="G445" s="698">
        <v>0.08</v>
      </c>
      <c r="H445" s="12" t="s">
        <v>889</v>
      </c>
      <c r="I445" s="12" t="s">
        <v>893</v>
      </c>
      <c r="J445" s="12" t="s">
        <v>942</v>
      </c>
      <c r="K445" s="12" t="s">
        <v>895</v>
      </c>
      <c r="L445" s="12"/>
      <c r="M445" s="11"/>
      <c r="N445" s="11"/>
      <c r="O445" s="11"/>
      <c r="P445" s="11"/>
    </row>
    <row r="446" spans="1:16" x14ac:dyDescent="0.25">
      <c r="A446" s="695">
        <v>56232</v>
      </c>
      <c r="B446" s="558">
        <v>1000</v>
      </c>
      <c r="C446" s="693">
        <v>200</v>
      </c>
      <c r="D446" s="558">
        <v>1000</v>
      </c>
      <c r="F446" s="11" t="s">
        <v>1291</v>
      </c>
      <c r="G446" s="698">
        <v>86.52</v>
      </c>
      <c r="H446" s="12" t="s">
        <v>889</v>
      </c>
      <c r="I446" s="12" t="s">
        <v>897</v>
      </c>
      <c r="J446" s="12" t="s">
        <v>894</v>
      </c>
      <c r="K446" s="12" t="s">
        <v>895</v>
      </c>
      <c r="L446" s="12"/>
      <c r="M446" s="11"/>
      <c r="N446" s="11"/>
      <c r="O446" s="11"/>
      <c r="P446" s="11"/>
    </row>
    <row r="447" spans="1:16" x14ac:dyDescent="0.25">
      <c r="A447" s="695">
        <v>56232</v>
      </c>
      <c r="B447" s="558">
        <v>1000</v>
      </c>
      <c r="C447" s="693">
        <v>200</v>
      </c>
      <c r="D447" s="558">
        <v>2100</v>
      </c>
      <c r="F447" s="11" t="s">
        <v>1291</v>
      </c>
      <c r="G447" s="698">
        <v>15.36</v>
      </c>
      <c r="H447" s="12" t="s">
        <v>889</v>
      </c>
      <c r="I447" s="12" t="s">
        <v>897</v>
      </c>
      <c r="J447" s="12" t="s">
        <v>902</v>
      </c>
      <c r="K447" s="12" t="s">
        <v>895</v>
      </c>
      <c r="L447" s="12"/>
      <c r="M447" s="11"/>
      <c r="N447" s="11"/>
      <c r="O447" s="11"/>
      <c r="P447" s="11"/>
    </row>
    <row r="448" spans="1:16" x14ac:dyDescent="0.25">
      <c r="A448" s="695">
        <v>56232</v>
      </c>
      <c r="B448" s="558">
        <v>1000</v>
      </c>
      <c r="C448" s="693">
        <v>240</v>
      </c>
      <c r="D448" s="558">
        <v>1000</v>
      </c>
      <c r="F448" s="11" t="s">
        <v>1291</v>
      </c>
      <c r="G448" s="698">
        <v>5.01</v>
      </c>
      <c r="H448" s="12" t="s">
        <v>889</v>
      </c>
      <c r="I448" s="12" t="s">
        <v>897</v>
      </c>
      <c r="J448" s="12" t="s">
        <v>894</v>
      </c>
      <c r="K448" s="12" t="s">
        <v>895</v>
      </c>
      <c r="L448" s="12"/>
      <c r="M448" s="11"/>
      <c r="N448" s="11"/>
      <c r="O448" s="11"/>
      <c r="P448" s="11"/>
    </row>
    <row r="449" spans="1:16" x14ac:dyDescent="0.25">
      <c r="A449" s="695">
        <v>56232</v>
      </c>
      <c r="B449" s="558">
        <v>1000</v>
      </c>
      <c r="C449" s="693">
        <v>260</v>
      </c>
      <c r="D449" s="558">
        <v>1000</v>
      </c>
      <c r="F449" s="11" t="s">
        <v>1291</v>
      </c>
      <c r="G449" s="698">
        <v>0.35</v>
      </c>
      <c r="H449" s="12" t="s">
        <v>889</v>
      </c>
      <c r="I449" s="12" t="s">
        <v>901</v>
      </c>
      <c r="J449" s="12" t="s">
        <v>894</v>
      </c>
      <c r="K449" s="12" t="s">
        <v>895</v>
      </c>
      <c r="L449" s="12"/>
      <c r="M449" s="11"/>
      <c r="N449" s="11"/>
      <c r="O449" s="11"/>
      <c r="P449" s="11"/>
    </row>
    <row r="450" spans="1:16" x14ac:dyDescent="0.25">
      <c r="A450" s="695">
        <v>56232</v>
      </c>
      <c r="B450" s="558">
        <v>1000</v>
      </c>
      <c r="C450" s="693">
        <v>400</v>
      </c>
      <c r="D450" s="558">
        <v>2700</v>
      </c>
      <c r="F450" s="11" t="s">
        <v>1291</v>
      </c>
      <c r="G450" s="698">
        <v>1.1499999999999999</v>
      </c>
      <c r="H450" s="12" t="s">
        <v>889</v>
      </c>
      <c r="I450" s="12" t="s">
        <v>913</v>
      </c>
      <c r="J450" s="12" t="s">
        <v>934</v>
      </c>
      <c r="K450" s="12" t="s">
        <v>895</v>
      </c>
      <c r="L450" s="12"/>
      <c r="M450" s="11"/>
      <c r="N450" s="11"/>
      <c r="O450" s="11"/>
      <c r="P450" s="11"/>
    </row>
    <row r="451" spans="1:16" x14ac:dyDescent="0.25">
      <c r="A451" s="695">
        <v>56232</v>
      </c>
      <c r="B451" s="558">
        <v>1000</v>
      </c>
      <c r="C451" s="693">
        <v>615</v>
      </c>
      <c r="D451" s="558">
        <v>1000</v>
      </c>
      <c r="F451" s="11" t="s">
        <v>1291</v>
      </c>
      <c r="G451" s="698">
        <v>0.35</v>
      </c>
      <c r="H451" s="12" t="s">
        <v>889</v>
      </c>
      <c r="I451" s="12" t="s">
        <v>937</v>
      </c>
      <c r="J451" s="12" t="s">
        <v>894</v>
      </c>
      <c r="K451" s="12" t="s">
        <v>895</v>
      </c>
      <c r="L451" s="12"/>
      <c r="M451" s="11"/>
      <c r="N451" s="11"/>
      <c r="O451" s="11"/>
      <c r="P451" s="11"/>
    </row>
    <row r="452" spans="1:16" x14ac:dyDescent="0.25">
      <c r="A452" s="695">
        <v>56232</v>
      </c>
      <c r="B452" s="558">
        <v>1000</v>
      </c>
      <c r="C452" s="693">
        <v>620</v>
      </c>
      <c r="D452" s="558">
        <v>1000</v>
      </c>
      <c r="F452" s="11" t="s">
        <v>1291</v>
      </c>
      <c r="G452" s="698">
        <v>4.41</v>
      </c>
      <c r="H452" s="12" t="s">
        <v>889</v>
      </c>
      <c r="I452" s="12" t="s">
        <v>941</v>
      </c>
      <c r="J452" s="12" t="s">
        <v>894</v>
      </c>
      <c r="K452" s="12" t="s">
        <v>895</v>
      </c>
      <c r="L452" s="12"/>
      <c r="M452" s="11"/>
      <c r="N452" s="11"/>
      <c r="O452" s="11"/>
      <c r="P452" s="11"/>
    </row>
    <row r="453" spans="1:16" x14ac:dyDescent="0.25">
      <c r="A453" s="695">
        <v>56232</v>
      </c>
      <c r="B453" s="558">
        <v>1012</v>
      </c>
      <c r="C453" s="693">
        <v>100</v>
      </c>
      <c r="D453" s="558">
        <v>1000</v>
      </c>
      <c r="F453" s="11" t="s">
        <v>1291</v>
      </c>
      <c r="G453" s="698">
        <v>432.38</v>
      </c>
      <c r="H453" s="12" t="s">
        <v>890</v>
      </c>
      <c r="I453" s="12" t="s">
        <v>893</v>
      </c>
      <c r="J453" s="12" t="s">
        <v>894</v>
      </c>
      <c r="K453" s="12" t="s">
        <v>895</v>
      </c>
      <c r="L453" s="12"/>
      <c r="M453" s="11"/>
      <c r="N453" s="11"/>
      <c r="O453" s="11"/>
      <c r="P453" s="11"/>
    </row>
    <row r="454" spans="1:16" x14ac:dyDescent="0.25">
      <c r="A454" s="695">
        <v>56232</v>
      </c>
      <c r="B454" s="558">
        <v>1012</v>
      </c>
      <c r="C454" s="693">
        <v>100</v>
      </c>
      <c r="D454" s="558">
        <v>2100</v>
      </c>
      <c r="F454" s="11" t="s">
        <v>1291</v>
      </c>
      <c r="G454" s="698">
        <v>14.46</v>
      </c>
      <c r="H454" s="12" t="s">
        <v>890</v>
      </c>
      <c r="I454" s="12" t="s">
        <v>893</v>
      </c>
      <c r="J454" s="12" t="s">
        <v>902</v>
      </c>
      <c r="K454" s="12" t="s">
        <v>895</v>
      </c>
      <c r="L454" s="12"/>
      <c r="M454" s="11"/>
      <c r="N454" s="11"/>
      <c r="O454" s="11"/>
      <c r="P454" s="11"/>
    </row>
    <row r="455" spans="1:16" x14ac:dyDescent="0.25">
      <c r="A455" s="695">
        <v>56232</v>
      </c>
      <c r="B455" s="558">
        <v>1012</v>
      </c>
      <c r="C455" s="693">
        <v>100</v>
      </c>
      <c r="D455" s="558">
        <v>2200</v>
      </c>
      <c r="F455" s="11" t="s">
        <v>1291</v>
      </c>
      <c r="G455" s="698">
        <v>2.39</v>
      </c>
      <c r="H455" s="12" t="s">
        <v>890</v>
      </c>
      <c r="I455" s="12" t="s">
        <v>893</v>
      </c>
      <c r="J455" s="12" t="s">
        <v>906</v>
      </c>
      <c r="K455" s="12" t="s">
        <v>895</v>
      </c>
      <c r="L455" s="12"/>
      <c r="M455" s="11"/>
      <c r="N455" s="11"/>
      <c r="O455" s="11"/>
      <c r="P455" s="11"/>
    </row>
    <row r="456" spans="1:16" x14ac:dyDescent="0.25">
      <c r="A456" s="695">
        <v>56232</v>
      </c>
      <c r="B456" s="558">
        <v>1012</v>
      </c>
      <c r="C456" s="693">
        <v>200</v>
      </c>
      <c r="D456" s="558">
        <v>1000</v>
      </c>
      <c r="F456" s="11" t="s">
        <v>1291</v>
      </c>
      <c r="G456" s="698">
        <v>2.29</v>
      </c>
      <c r="H456" s="12" t="s">
        <v>890</v>
      </c>
      <c r="I456" s="12" t="s">
        <v>897</v>
      </c>
      <c r="J456" s="12" t="s">
        <v>894</v>
      </c>
      <c r="K456" s="12" t="s">
        <v>895</v>
      </c>
      <c r="L456" s="12"/>
      <c r="M456" s="11"/>
      <c r="N456" s="11"/>
      <c r="O456" s="11"/>
      <c r="P456" s="11"/>
    </row>
    <row r="457" spans="1:16" x14ac:dyDescent="0.25">
      <c r="A457" s="695">
        <v>56232</v>
      </c>
      <c r="B457" s="558">
        <v>1012</v>
      </c>
      <c r="C457" s="693">
        <v>200</v>
      </c>
      <c r="D457" s="558">
        <v>2100</v>
      </c>
      <c r="F457" s="11" t="s">
        <v>1291</v>
      </c>
      <c r="G457" s="698">
        <v>6.37</v>
      </c>
      <c r="H457" s="12" t="s">
        <v>890</v>
      </c>
      <c r="I457" s="12" t="s">
        <v>897</v>
      </c>
      <c r="J457" s="12" t="s">
        <v>902</v>
      </c>
      <c r="K457" s="12" t="s">
        <v>895</v>
      </c>
      <c r="L457" s="12"/>
      <c r="M457" s="11"/>
      <c r="N457" s="11"/>
      <c r="O457" s="11"/>
      <c r="P457" s="11"/>
    </row>
    <row r="458" spans="1:16" x14ac:dyDescent="0.25">
      <c r="A458" s="695">
        <v>56232</v>
      </c>
      <c r="B458" s="558">
        <v>1012</v>
      </c>
      <c r="C458" s="693">
        <v>260</v>
      </c>
      <c r="D458" s="558">
        <v>1000</v>
      </c>
      <c r="F458" s="11" t="s">
        <v>1291</v>
      </c>
      <c r="G458" s="698">
        <v>1.45</v>
      </c>
      <c r="H458" s="12" t="s">
        <v>890</v>
      </c>
      <c r="I458" s="12" t="s">
        <v>901</v>
      </c>
      <c r="J458" s="12" t="s">
        <v>894</v>
      </c>
      <c r="K458" s="12" t="s">
        <v>895</v>
      </c>
      <c r="L458" s="12"/>
      <c r="M458" s="11"/>
      <c r="N458" s="11"/>
      <c r="O458" s="11"/>
      <c r="P458" s="11"/>
    </row>
    <row r="459" spans="1:16" x14ac:dyDescent="0.25">
      <c r="A459" s="695">
        <v>56232</v>
      </c>
      <c r="B459" s="558">
        <v>1220</v>
      </c>
      <c r="C459" s="693">
        <v>200</v>
      </c>
      <c r="D459" s="558">
        <v>2100</v>
      </c>
      <c r="F459" s="11" t="s">
        <v>1291</v>
      </c>
      <c r="G459" s="698">
        <v>29.08</v>
      </c>
      <c r="H459" s="12" t="s">
        <v>932</v>
      </c>
      <c r="I459" s="12" t="s">
        <v>897</v>
      </c>
      <c r="J459" s="12" t="s">
        <v>902</v>
      </c>
      <c r="K459" s="12" t="s">
        <v>895</v>
      </c>
      <c r="L459" s="12"/>
      <c r="M459" s="11"/>
      <c r="N459" s="11"/>
      <c r="O459" s="11"/>
      <c r="P459" s="11"/>
    </row>
    <row r="460" spans="1:16" x14ac:dyDescent="0.25">
      <c r="A460" s="695">
        <v>56232</v>
      </c>
      <c r="B460" s="558">
        <v>1319</v>
      </c>
      <c r="C460" s="693">
        <v>100</v>
      </c>
      <c r="D460" s="558">
        <v>1000</v>
      </c>
      <c r="F460" s="11" t="s">
        <v>1291</v>
      </c>
      <c r="G460" s="698">
        <v>0</v>
      </c>
      <c r="H460" s="12" t="s">
        <v>968</v>
      </c>
      <c r="I460" s="12" t="s">
        <v>893</v>
      </c>
      <c r="J460" s="12" t="s">
        <v>894</v>
      </c>
      <c r="K460" s="12" t="s">
        <v>895</v>
      </c>
      <c r="L460" s="12"/>
      <c r="M460" s="11"/>
      <c r="N460" s="11"/>
      <c r="O460" s="11"/>
      <c r="P460" s="11"/>
    </row>
    <row r="461" spans="1:16" x14ac:dyDescent="0.25">
      <c r="A461" s="695">
        <v>56232</v>
      </c>
      <c r="B461" s="558">
        <v>1319</v>
      </c>
      <c r="C461" s="693">
        <v>100</v>
      </c>
      <c r="D461" s="558">
        <v>2100</v>
      </c>
      <c r="F461" s="11" t="s">
        <v>1291</v>
      </c>
      <c r="G461" s="698">
        <v>0</v>
      </c>
      <c r="H461" s="12" t="s">
        <v>968</v>
      </c>
      <c r="I461" s="12" t="s">
        <v>893</v>
      </c>
      <c r="J461" s="12" t="s">
        <v>902</v>
      </c>
      <c r="K461" s="12" t="s">
        <v>895</v>
      </c>
      <c r="L461" s="12"/>
      <c r="M461" s="11"/>
      <c r="N461" s="11"/>
      <c r="O461" s="11"/>
      <c r="P461" s="11"/>
    </row>
    <row r="462" spans="1:16" x14ac:dyDescent="0.25">
      <c r="A462" s="695">
        <v>56232</v>
      </c>
      <c r="B462" s="558">
        <v>1319</v>
      </c>
      <c r="C462" s="693">
        <v>260</v>
      </c>
      <c r="D462" s="558">
        <v>1000</v>
      </c>
      <c r="F462" s="11" t="s">
        <v>1291</v>
      </c>
      <c r="G462" s="698">
        <v>0</v>
      </c>
      <c r="H462" s="12" t="s">
        <v>968</v>
      </c>
      <c r="I462" s="12" t="s">
        <v>901</v>
      </c>
      <c r="J462" s="12" t="s">
        <v>894</v>
      </c>
      <c r="K462" s="12" t="s">
        <v>895</v>
      </c>
      <c r="L462" s="12"/>
      <c r="M462" s="11"/>
      <c r="N462" s="11"/>
      <c r="O462" s="11"/>
      <c r="P462" s="11"/>
    </row>
    <row r="463" spans="1:16" x14ac:dyDescent="0.25">
      <c r="A463" s="695">
        <v>56232</v>
      </c>
      <c r="B463" s="558">
        <v>1321</v>
      </c>
      <c r="C463" s="693">
        <v>100</v>
      </c>
      <c r="D463" s="558">
        <v>1000</v>
      </c>
      <c r="F463" s="11" t="s">
        <v>1291</v>
      </c>
      <c r="G463" s="698">
        <v>228.32</v>
      </c>
      <c r="H463" s="12" t="s">
        <v>968</v>
      </c>
      <c r="I463" s="12" t="s">
        <v>893</v>
      </c>
      <c r="J463" s="12" t="s">
        <v>894</v>
      </c>
      <c r="K463" s="12" t="s">
        <v>895</v>
      </c>
      <c r="L463" s="12"/>
      <c r="M463" s="11"/>
      <c r="N463" s="11"/>
      <c r="O463" s="11"/>
      <c r="P463" s="11"/>
    </row>
    <row r="464" spans="1:16" x14ac:dyDescent="0.25">
      <c r="A464" s="695">
        <v>56232</v>
      </c>
      <c r="B464" s="558">
        <v>1321</v>
      </c>
      <c r="C464" s="693">
        <v>100</v>
      </c>
      <c r="D464" s="558">
        <v>2100</v>
      </c>
      <c r="F464" s="11" t="s">
        <v>1291</v>
      </c>
      <c r="G464" s="698">
        <v>100.42</v>
      </c>
      <c r="H464" s="12" t="s">
        <v>968</v>
      </c>
      <c r="I464" s="12" t="s">
        <v>893</v>
      </c>
      <c r="J464" s="12" t="s">
        <v>902</v>
      </c>
      <c r="K464" s="12" t="s">
        <v>895</v>
      </c>
      <c r="L464" s="12"/>
      <c r="M464" s="11"/>
      <c r="N464" s="11"/>
      <c r="O464" s="11"/>
      <c r="P464" s="11"/>
    </row>
    <row r="465" spans="1:16" x14ac:dyDescent="0.25">
      <c r="A465" s="695">
        <v>56232</v>
      </c>
      <c r="B465" s="558">
        <v>1321</v>
      </c>
      <c r="C465" s="693">
        <v>100</v>
      </c>
      <c r="D465" s="558">
        <v>2200</v>
      </c>
      <c r="F465" s="11" t="s">
        <v>1291</v>
      </c>
      <c r="G465" s="698">
        <v>13.29</v>
      </c>
      <c r="H465" s="12" t="s">
        <v>968</v>
      </c>
      <c r="I465" s="12" t="s">
        <v>893</v>
      </c>
      <c r="J465" s="12" t="s">
        <v>906</v>
      </c>
      <c r="K465" s="12" t="s">
        <v>895</v>
      </c>
      <c r="L465" s="12"/>
      <c r="M465" s="11"/>
      <c r="N465" s="11"/>
      <c r="O465" s="11"/>
      <c r="P465" s="11"/>
    </row>
    <row r="466" spans="1:16" x14ac:dyDescent="0.25">
      <c r="A466" s="695">
        <v>56232</v>
      </c>
      <c r="B466" s="558">
        <v>1321</v>
      </c>
      <c r="C466" s="693">
        <v>200</v>
      </c>
      <c r="D466" s="558">
        <v>1000</v>
      </c>
      <c r="F466" s="11" t="s">
        <v>1291</v>
      </c>
      <c r="G466" s="698">
        <v>0</v>
      </c>
      <c r="H466" s="12" t="s">
        <v>968</v>
      </c>
      <c r="I466" s="12" t="s">
        <v>897</v>
      </c>
      <c r="J466" s="12" t="s">
        <v>894</v>
      </c>
      <c r="K466" s="12" t="s">
        <v>895</v>
      </c>
      <c r="L466" s="12"/>
      <c r="M466" s="11"/>
      <c r="N466" s="11"/>
      <c r="O466" s="11"/>
      <c r="P466" s="11"/>
    </row>
    <row r="467" spans="1:16" x14ac:dyDescent="0.25">
      <c r="A467" s="695">
        <v>56232</v>
      </c>
      <c r="B467" s="558">
        <v>1321</v>
      </c>
      <c r="C467" s="693">
        <v>200</v>
      </c>
      <c r="D467" s="558">
        <v>2100</v>
      </c>
      <c r="F467" s="11" t="s">
        <v>1291</v>
      </c>
      <c r="G467" s="698">
        <v>48.13</v>
      </c>
      <c r="H467" s="12" t="s">
        <v>968</v>
      </c>
      <c r="I467" s="12" t="s">
        <v>897</v>
      </c>
      <c r="J467" s="12" t="s">
        <v>902</v>
      </c>
      <c r="K467" s="12" t="s">
        <v>895</v>
      </c>
      <c r="L467" s="12"/>
      <c r="M467" s="11"/>
      <c r="N467" s="11"/>
      <c r="O467" s="11"/>
      <c r="P467" s="11"/>
    </row>
    <row r="468" spans="1:16" x14ac:dyDescent="0.25">
      <c r="A468" s="695">
        <v>56232</v>
      </c>
      <c r="B468" s="558">
        <v>1321</v>
      </c>
      <c r="C468" s="693">
        <v>260</v>
      </c>
      <c r="D468" s="558">
        <v>1000</v>
      </c>
      <c r="F468" s="11" t="s">
        <v>1291</v>
      </c>
      <c r="G468" s="698">
        <v>24.21</v>
      </c>
      <c r="H468" s="12" t="s">
        <v>968</v>
      </c>
      <c r="I468" s="12" t="s">
        <v>901</v>
      </c>
      <c r="J468" s="12" t="s">
        <v>894</v>
      </c>
      <c r="K468" s="12" t="s">
        <v>895</v>
      </c>
      <c r="L468" s="12"/>
      <c r="M468" s="11"/>
      <c r="N468" s="11"/>
      <c r="O468" s="11"/>
      <c r="P468" s="11"/>
    </row>
    <row r="469" spans="1:16" x14ac:dyDescent="0.25">
      <c r="A469" s="695">
        <v>56232</v>
      </c>
      <c r="B469" s="558">
        <v>1322</v>
      </c>
      <c r="C469" s="693">
        <v>100</v>
      </c>
      <c r="D469" s="558">
        <v>2500</v>
      </c>
      <c r="F469" s="11" t="s">
        <v>1291</v>
      </c>
      <c r="G469" s="698">
        <v>0</v>
      </c>
      <c r="H469" s="12" t="s">
        <v>968</v>
      </c>
      <c r="I469" s="12" t="s">
        <v>893</v>
      </c>
      <c r="J469" s="12" t="s">
        <v>926</v>
      </c>
      <c r="K469" s="12" t="s">
        <v>895</v>
      </c>
      <c r="L469" s="12"/>
      <c r="M469" s="11"/>
      <c r="N469" s="11"/>
      <c r="O469" s="11"/>
      <c r="P469" s="11"/>
    </row>
    <row r="470" spans="1:16" x14ac:dyDescent="0.25">
      <c r="A470" s="695">
        <v>56232</v>
      </c>
      <c r="B470" s="558">
        <v>1534</v>
      </c>
      <c r="C470" s="693">
        <v>400</v>
      </c>
      <c r="D470" s="558">
        <v>2700</v>
      </c>
      <c r="F470" s="11" t="s">
        <v>1291</v>
      </c>
      <c r="G470" s="698">
        <v>0</v>
      </c>
      <c r="H470" s="12" t="s">
        <v>997</v>
      </c>
      <c r="I470" s="12" t="s">
        <v>913</v>
      </c>
      <c r="J470" s="12" t="s">
        <v>934</v>
      </c>
      <c r="K470" s="12" t="s">
        <v>895</v>
      </c>
      <c r="L470" s="12"/>
      <c r="M470" s="11"/>
      <c r="N470" s="11"/>
      <c r="O470" s="11"/>
      <c r="P470" s="11"/>
    </row>
    <row r="471" spans="1:16" x14ac:dyDescent="0.25">
      <c r="A471" s="695">
        <v>56232</v>
      </c>
      <c r="B471" s="558">
        <v>1751</v>
      </c>
      <c r="C471" s="693">
        <v>620</v>
      </c>
      <c r="D471" s="558">
        <v>1000</v>
      </c>
      <c r="F471" s="11" t="s">
        <v>1291</v>
      </c>
      <c r="G471" s="698">
        <v>0.9</v>
      </c>
      <c r="H471" s="12" t="s">
        <v>997</v>
      </c>
      <c r="I471" s="12" t="s">
        <v>941</v>
      </c>
      <c r="J471" s="12" t="s">
        <v>894</v>
      </c>
      <c r="K471" s="12" t="s">
        <v>895</v>
      </c>
      <c r="L471" s="12"/>
      <c r="M471" s="11"/>
      <c r="N471" s="11"/>
      <c r="O471" s="11"/>
      <c r="P471" s="11"/>
    </row>
    <row r="472" spans="1:16" x14ac:dyDescent="0.25">
      <c r="A472" s="695">
        <v>56232</v>
      </c>
      <c r="B472" s="558">
        <v>1871</v>
      </c>
      <c r="C472" s="693">
        <v>615</v>
      </c>
      <c r="D472" s="558">
        <v>1000</v>
      </c>
      <c r="F472" s="11" t="s">
        <v>1291</v>
      </c>
      <c r="G472" s="698">
        <v>0.19</v>
      </c>
      <c r="H472" s="12" t="s">
        <v>997</v>
      </c>
      <c r="I472" s="12" t="s">
        <v>937</v>
      </c>
      <c r="J472" s="12" t="s">
        <v>894</v>
      </c>
      <c r="K472" s="12" t="s">
        <v>895</v>
      </c>
      <c r="L472" s="12"/>
      <c r="M472" s="11"/>
      <c r="N472" s="11"/>
      <c r="O472" s="11"/>
      <c r="P472" s="11"/>
    </row>
    <row r="473" spans="1:16" x14ac:dyDescent="0.25">
      <c r="A473" s="695">
        <v>56232</v>
      </c>
      <c r="B473" s="558">
        <v>1872</v>
      </c>
      <c r="C473" s="693">
        <v>615</v>
      </c>
      <c r="D473" s="558">
        <v>1000</v>
      </c>
      <c r="F473" s="11" t="s">
        <v>1291</v>
      </c>
      <c r="G473" s="698">
        <v>0</v>
      </c>
      <c r="H473" s="12" t="s">
        <v>997</v>
      </c>
      <c r="I473" s="12" t="s">
        <v>937</v>
      </c>
      <c r="J473" s="12" t="s">
        <v>894</v>
      </c>
      <c r="K473" s="12" t="s">
        <v>895</v>
      </c>
      <c r="L473" s="12"/>
      <c r="M473" s="11"/>
      <c r="N473" s="11"/>
      <c r="O473" s="11"/>
      <c r="P473" s="11"/>
    </row>
    <row r="474" spans="1:16" x14ac:dyDescent="0.25">
      <c r="A474" s="695">
        <v>56232</v>
      </c>
      <c r="B474" s="558">
        <v>1910</v>
      </c>
      <c r="C474" s="693">
        <v>615</v>
      </c>
      <c r="D474" s="558">
        <v>1000</v>
      </c>
      <c r="F474" s="11" t="s">
        <v>1291</v>
      </c>
      <c r="G474" s="698">
        <v>0.56999999999999995</v>
      </c>
      <c r="H474" s="12" t="s">
        <v>997</v>
      </c>
      <c r="I474" s="12" t="s">
        <v>937</v>
      </c>
      <c r="J474" s="12" t="s">
        <v>894</v>
      </c>
      <c r="K474" s="12" t="s">
        <v>895</v>
      </c>
      <c r="L474" s="12"/>
      <c r="M474" s="11"/>
      <c r="N474" s="11"/>
      <c r="O474" s="11"/>
      <c r="P474" s="11"/>
    </row>
    <row r="475" spans="1:16" x14ac:dyDescent="0.25">
      <c r="A475" s="695">
        <v>56232</v>
      </c>
      <c r="B475" s="558" t="s">
        <v>1245</v>
      </c>
      <c r="C475" s="693">
        <v>100</v>
      </c>
      <c r="D475" s="558">
        <v>1000</v>
      </c>
      <c r="F475" s="11" t="s">
        <v>1291</v>
      </c>
      <c r="G475" s="698">
        <v>164.64</v>
      </c>
      <c r="H475" s="12" t="s">
        <v>904</v>
      </c>
      <c r="I475" s="12" t="s">
        <v>893</v>
      </c>
      <c r="J475" s="12" t="s">
        <v>894</v>
      </c>
      <c r="K475" s="12" t="s">
        <v>895</v>
      </c>
      <c r="L475" s="12"/>
      <c r="M475" s="11"/>
      <c r="N475" s="11"/>
      <c r="O475" s="11"/>
      <c r="P475" s="11"/>
    </row>
    <row r="476" spans="1:16" x14ac:dyDescent="0.25">
      <c r="A476" s="695">
        <v>56232</v>
      </c>
      <c r="B476" s="558" t="s">
        <v>1245</v>
      </c>
      <c r="C476" s="693">
        <v>260</v>
      </c>
      <c r="D476" s="558">
        <v>1000</v>
      </c>
      <c r="F476" s="11" t="s">
        <v>1291</v>
      </c>
      <c r="G476" s="698">
        <v>16.7</v>
      </c>
      <c r="H476" s="12" t="s">
        <v>904</v>
      </c>
      <c r="I476" s="12" t="s">
        <v>901</v>
      </c>
      <c r="J476" s="12" t="s">
        <v>894</v>
      </c>
      <c r="K476" s="12" t="s">
        <v>895</v>
      </c>
      <c r="L476" s="12"/>
      <c r="M476" s="11"/>
      <c r="N476" s="11"/>
      <c r="O476" s="11"/>
      <c r="P476" s="11"/>
    </row>
    <row r="477" spans="1:16" x14ac:dyDescent="0.25">
      <c r="A477" s="694">
        <v>56232</v>
      </c>
      <c r="B477" s="558" t="s">
        <v>1246</v>
      </c>
      <c r="C477" s="693">
        <v>100</v>
      </c>
      <c r="D477" s="558">
        <v>3100</v>
      </c>
      <c r="F477" s="11" t="s">
        <v>1291</v>
      </c>
      <c r="G477" s="698">
        <v>19.39</v>
      </c>
      <c r="H477" s="12" t="s">
        <v>997</v>
      </c>
      <c r="I477" s="12" t="s">
        <v>893</v>
      </c>
      <c r="J477" s="12" t="s">
        <v>942</v>
      </c>
      <c r="K477" s="12" t="s">
        <v>895</v>
      </c>
      <c r="L477" s="12"/>
      <c r="M477" s="11"/>
      <c r="N477" s="11"/>
      <c r="O477" s="11"/>
      <c r="P477" s="11"/>
    </row>
    <row r="478" spans="1:16" x14ac:dyDescent="0.25">
      <c r="A478" s="695">
        <v>56250</v>
      </c>
      <c r="B478" s="558">
        <v>1000</v>
      </c>
      <c r="C478" s="693">
        <v>100</v>
      </c>
      <c r="D478" s="558">
        <v>1000</v>
      </c>
      <c r="F478" s="11" t="s">
        <v>1292</v>
      </c>
      <c r="G478" s="698">
        <v>-37.85</v>
      </c>
      <c r="H478" s="12" t="s">
        <v>889</v>
      </c>
      <c r="I478" s="12" t="s">
        <v>893</v>
      </c>
      <c r="J478" s="12" t="s">
        <v>894</v>
      </c>
      <c r="K478" s="12" t="s">
        <v>895</v>
      </c>
      <c r="L478" s="12"/>
      <c r="M478" s="11"/>
      <c r="N478" s="11"/>
      <c r="O478" s="11"/>
      <c r="P478" s="11"/>
    </row>
    <row r="479" spans="1:16" x14ac:dyDescent="0.25">
      <c r="A479" s="695">
        <v>56250</v>
      </c>
      <c r="B479" s="558">
        <v>1000</v>
      </c>
      <c r="C479" s="693">
        <v>100</v>
      </c>
      <c r="D479" s="558">
        <v>2300</v>
      </c>
      <c r="F479" s="11" t="s">
        <v>1292</v>
      </c>
      <c r="G479" s="698">
        <v>-0.48</v>
      </c>
      <c r="H479" s="12" t="s">
        <v>889</v>
      </c>
      <c r="I479" s="12" t="s">
        <v>893</v>
      </c>
      <c r="J479" s="12" t="s">
        <v>918</v>
      </c>
      <c r="K479" s="12" t="s">
        <v>895</v>
      </c>
      <c r="L479" s="12"/>
      <c r="M479" s="11"/>
      <c r="N479" s="11"/>
      <c r="O479" s="11"/>
      <c r="P479" s="11"/>
    </row>
    <row r="480" spans="1:16" x14ac:dyDescent="0.25">
      <c r="A480" s="694">
        <v>56250</v>
      </c>
      <c r="B480" s="558">
        <v>1000</v>
      </c>
      <c r="C480" s="693">
        <v>100</v>
      </c>
      <c r="D480" s="558">
        <v>2500</v>
      </c>
      <c r="F480" s="11" t="s">
        <v>1292</v>
      </c>
      <c r="G480" s="698">
        <v>2533.65</v>
      </c>
      <c r="H480" s="12" t="s">
        <v>889</v>
      </c>
      <c r="I480" s="12" t="s">
        <v>893</v>
      </c>
      <c r="J480" s="12" t="s">
        <v>926</v>
      </c>
      <c r="K480" s="12" t="s">
        <v>895</v>
      </c>
      <c r="L480" s="12"/>
      <c r="M480" s="11"/>
      <c r="N480" s="11"/>
      <c r="O480" s="11"/>
      <c r="P480" s="11"/>
    </row>
    <row r="481" spans="1:16" x14ac:dyDescent="0.25">
      <c r="A481" s="695">
        <v>56260</v>
      </c>
      <c r="B481" s="558">
        <v>1000</v>
      </c>
      <c r="C481" s="693">
        <v>100</v>
      </c>
      <c r="D481" s="558">
        <v>2300</v>
      </c>
      <c r="F481" s="11" t="s">
        <v>1293</v>
      </c>
      <c r="G481" s="698">
        <v>37.56</v>
      </c>
      <c r="H481" s="12" t="s">
        <v>889</v>
      </c>
      <c r="I481" s="12" t="s">
        <v>893</v>
      </c>
      <c r="J481" s="12" t="s">
        <v>918</v>
      </c>
      <c r="K481" s="12" t="s">
        <v>895</v>
      </c>
      <c r="L481" s="12"/>
      <c r="M481" s="11"/>
      <c r="N481" s="11"/>
      <c r="O481" s="11"/>
      <c r="P481" s="11"/>
    </row>
    <row r="482" spans="1:16" x14ac:dyDescent="0.25">
      <c r="A482" s="694">
        <v>56260</v>
      </c>
      <c r="B482" s="558">
        <v>1000</v>
      </c>
      <c r="C482" s="693">
        <v>100</v>
      </c>
      <c r="D482" s="558">
        <v>2500</v>
      </c>
      <c r="F482" s="11" t="s">
        <v>1293</v>
      </c>
      <c r="G482" s="698">
        <v>10633.93</v>
      </c>
      <c r="H482" s="12" t="s">
        <v>889</v>
      </c>
      <c r="I482" s="12" t="s">
        <v>893</v>
      </c>
      <c r="J482" s="12" t="s">
        <v>926</v>
      </c>
      <c r="K482" s="12" t="s">
        <v>895</v>
      </c>
      <c r="L482" s="12"/>
      <c r="M482" s="11"/>
      <c r="N482" s="11"/>
      <c r="O482" s="11"/>
      <c r="P482" s="11"/>
    </row>
    <row r="483" spans="1:16" x14ac:dyDescent="0.25">
      <c r="A483" s="695">
        <v>56282</v>
      </c>
      <c r="B483" s="558">
        <v>1000</v>
      </c>
      <c r="C483" s="693">
        <v>100</v>
      </c>
      <c r="D483" s="558">
        <v>2100</v>
      </c>
      <c r="F483" s="11" t="s">
        <v>1294</v>
      </c>
      <c r="G483" s="698">
        <v>34.85</v>
      </c>
      <c r="H483" s="12" t="s">
        <v>889</v>
      </c>
      <c r="I483" s="12" t="s">
        <v>893</v>
      </c>
      <c r="J483" s="12" t="s">
        <v>902</v>
      </c>
      <c r="K483" s="12" t="s">
        <v>895</v>
      </c>
      <c r="L483" s="12"/>
      <c r="M483" s="11"/>
      <c r="N483" s="11"/>
      <c r="O483" s="11"/>
      <c r="P483" s="11"/>
    </row>
    <row r="484" spans="1:16" x14ac:dyDescent="0.25">
      <c r="A484" s="695">
        <v>56282</v>
      </c>
      <c r="B484" s="558">
        <v>1000</v>
      </c>
      <c r="C484" s="693">
        <v>100</v>
      </c>
      <c r="D484" s="558">
        <v>2200</v>
      </c>
      <c r="F484" s="11" t="s">
        <v>1294</v>
      </c>
      <c r="G484" s="698">
        <v>357.87</v>
      </c>
      <c r="H484" s="12" t="s">
        <v>889</v>
      </c>
      <c r="I484" s="12" t="s">
        <v>893</v>
      </c>
      <c r="J484" s="12" t="s">
        <v>906</v>
      </c>
      <c r="K484" s="12" t="s">
        <v>895</v>
      </c>
      <c r="L484" s="12"/>
      <c r="M484" s="11"/>
      <c r="N484" s="11"/>
      <c r="O484" s="11"/>
      <c r="P484" s="11"/>
    </row>
    <row r="485" spans="1:16" x14ac:dyDescent="0.25">
      <c r="A485" s="695">
        <v>56282</v>
      </c>
      <c r="B485" s="558">
        <v>1000</v>
      </c>
      <c r="C485" s="693">
        <v>100</v>
      </c>
      <c r="D485" s="558">
        <v>2500</v>
      </c>
      <c r="F485" s="11" t="s">
        <v>1294</v>
      </c>
      <c r="G485" s="698">
        <v>3672.34</v>
      </c>
      <c r="H485" s="12" t="s">
        <v>889</v>
      </c>
      <c r="I485" s="12" t="s">
        <v>893</v>
      </c>
      <c r="J485" s="12" t="s">
        <v>926</v>
      </c>
      <c r="K485" s="12" t="s">
        <v>895</v>
      </c>
      <c r="L485" s="12"/>
      <c r="M485" s="11"/>
      <c r="N485" s="11"/>
      <c r="O485" s="11"/>
      <c r="P485" s="11"/>
    </row>
    <row r="486" spans="1:16" x14ac:dyDescent="0.25">
      <c r="A486" s="694">
        <v>56282</v>
      </c>
      <c r="B486" s="558">
        <v>1000</v>
      </c>
      <c r="C486" s="693">
        <v>100</v>
      </c>
      <c r="D486" s="558">
        <v>2510</v>
      </c>
      <c r="F486" s="11" t="s">
        <v>1294</v>
      </c>
      <c r="G486" s="698">
        <v>441.05</v>
      </c>
      <c r="H486" s="12" t="s">
        <v>889</v>
      </c>
      <c r="I486" s="12" t="s">
        <v>893</v>
      </c>
      <c r="J486" s="12" t="s">
        <v>926</v>
      </c>
      <c r="K486" s="12" t="s">
        <v>895</v>
      </c>
      <c r="L486" s="12"/>
      <c r="M486" s="11"/>
      <c r="N486" s="11"/>
      <c r="O486" s="11"/>
      <c r="P486" s="11"/>
    </row>
    <row r="487" spans="1:16" x14ac:dyDescent="0.25">
      <c r="A487" s="694">
        <v>56283</v>
      </c>
      <c r="B487" s="558">
        <v>1000</v>
      </c>
      <c r="C487" s="693">
        <v>100</v>
      </c>
      <c r="D487" s="558">
        <v>2500</v>
      </c>
      <c r="F487" s="11" t="s">
        <v>1295</v>
      </c>
      <c r="G487" s="698">
        <v>3289.93</v>
      </c>
      <c r="H487" s="12" t="s">
        <v>889</v>
      </c>
      <c r="I487" s="12" t="s">
        <v>893</v>
      </c>
      <c r="J487" s="12" t="s">
        <v>926</v>
      </c>
      <c r="K487" s="12" t="s">
        <v>895</v>
      </c>
      <c r="L487" s="12"/>
      <c r="M487" s="11"/>
      <c r="N487" s="11"/>
      <c r="O487" s="11"/>
      <c r="P487" s="11"/>
    </row>
    <row r="488" spans="1:16" x14ac:dyDescent="0.25">
      <c r="A488" s="695">
        <v>56290</v>
      </c>
      <c r="B488" s="558">
        <v>1000</v>
      </c>
      <c r="C488" s="693">
        <v>100</v>
      </c>
      <c r="D488" s="558">
        <v>1000</v>
      </c>
      <c r="F488" s="11" t="s">
        <v>1296</v>
      </c>
      <c r="G488" s="698">
        <v>-2.77</v>
      </c>
      <c r="H488" s="12" t="s">
        <v>889</v>
      </c>
      <c r="I488" s="12" t="s">
        <v>893</v>
      </c>
      <c r="J488" s="12" t="s">
        <v>894</v>
      </c>
      <c r="K488" s="12" t="s">
        <v>895</v>
      </c>
      <c r="L488" s="12"/>
      <c r="M488" s="11"/>
      <c r="N488" s="11"/>
      <c r="O488" s="11"/>
      <c r="P488" s="11"/>
    </row>
    <row r="489" spans="1:16" x14ac:dyDescent="0.25">
      <c r="A489" s="695">
        <v>56290</v>
      </c>
      <c r="B489" s="558">
        <v>1000</v>
      </c>
      <c r="C489" s="693">
        <v>100</v>
      </c>
      <c r="D489" s="558">
        <v>2500</v>
      </c>
      <c r="F489" s="11" t="s">
        <v>1296</v>
      </c>
      <c r="G489" s="698">
        <v>21.96</v>
      </c>
      <c r="H489" s="12" t="s">
        <v>889</v>
      </c>
      <c r="I489" s="12" t="s">
        <v>893</v>
      </c>
      <c r="J489" s="12" t="s">
        <v>926</v>
      </c>
      <c r="K489" s="12" t="s">
        <v>895</v>
      </c>
      <c r="L489" s="12"/>
      <c r="M489" s="11"/>
      <c r="N489" s="11"/>
      <c r="O489" s="11"/>
      <c r="P489" s="11"/>
    </row>
    <row r="490" spans="1:16" x14ac:dyDescent="0.25">
      <c r="A490" s="694">
        <v>56290</v>
      </c>
      <c r="B490" s="558">
        <v>1322</v>
      </c>
      <c r="C490" s="693">
        <v>100</v>
      </c>
      <c r="D490" s="558">
        <v>2500</v>
      </c>
      <c r="F490" s="11" t="s">
        <v>1296</v>
      </c>
      <c r="G490" s="698">
        <v>0</v>
      </c>
      <c r="H490" s="12" t="s">
        <v>968</v>
      </c>
      <c r="I490" s="12" t="s">
        <v>893</v>
      </c>
      <c r="J490" s="12" t="s">
        <v>926</v>
      </c>
      <c r="K490" s="12" t="s">
        <v>895</v>
      </c>
      <c r="L490" s="12"/>
      <c r="M490" s="11"/>
      <c r="N490" s="11"/>
      <c r="O490" s="11"/>
      <c r="P490" s="11"/>
    </row>
    <row r="491" spans="1:16" x14ac:dyDescent="0.25">
      <c r="A491" s="695">
        <v>56291</v>
      </c>
      <c r="B491" s="558">
        <v>1000</v>
      </c>
      <c r="C491" s="693">
        <v>100</v>
      </c>
      <c r="D491" s="558">
        <v>2200</v>
      </c>
      <c r="F491" s="11" t="s">
        <v>1297</v>
      </c>
      <c r="G491" s="698">
        <v>40.94</v>
      </c>
      <c r="H491" s="12" t="s">
        <v>889</v>
      </c>
      <c r="I491" s="12" t="s">
        <v>893</v>
      </c>
      <c r="J491" s="12" t="s">
        <v>906</v>
      </c>
      <c r="K491" s="12" t="s">
        <v>895</v>
      </c>
      <c r="L491" s="12"/>
      <c r="M491" s="11"/>
      <c r="N491" s="11"/>
      <c r="O491" s="11"/>
      <c r="P491" s="11"/>
    </row>
    <row r="492" spans="1:16" x14ac:dyDescent="0.25">
      <c r="A492" s="695">
        <v>56291</v>
      </c>
      <c r="B492" s="558">
        <v>1000</v>
      </c>
      <c r="C492" s="693">
        <v>100</v>
      </c>
      <c r="D492" s="558">
        <v>2300</v>
      </c>
      <c r="F492" s="11" t="s">
        <v>1297</v>
      </c>
      <c r="G492" s="698">
        <v>43.87</v>
      </c>
      <c r="H492" s="12" t="s">
        <v>889</v>
      </c>
      <c r="I492" s="12" t="s">
        <v>893</v>
      </c>
      <c r="J492" s="12" t="s">
        <v>918</v>
      </c>
      <c r="K492" s="12" t="s">
        <v>895</v>
      </c>
      <c r="L492" s="12"/>
      <c r="M492" s="11"/>
      <c r="N492" s="11"/>
      <c r="O492" s="11"/>
      <c r="P492" s="11"/>
    </row>
    <row r="493" spans="1:16" x14ac:dyDescent="0.25">
      <c r="A493" s="695">
        <v>56291</v>
      </c>
      <c r="B493" s="558">
        <v>1000</v>
      </c>
      <c r="C493" s="693">
        <v>100</v>
      </c>
      <c r="D493" s="558">
        <v>2500</v>
      </c>
      <c r="F493" s="11" t="s">
        <v>1297</v>
      </c>
      <c r="G493" s="698">
        <v>1104.29</v>
      </c>
      <c r="H493" s="12" t="s">
        <v>889</v>
      </c>
      <c r="I493" s="12" t="s">
        <v>893</v>
      </c>
      <c r="J493" s="12" t="s">
        <v>926</v>
      </c>
      <c r="K493" s="12" t="s">
        <v>895</v>
      </c>
      <c r="L493" s="12"/>
      <c r="M493" s="11"/>
      <c r="N493" s="11"/>
      <c r="O493" s="11"/>
      <c r="P493" s="11"/>
    </row>
    <row r="494" spans="1:16" x14ac:dyDescent="0.25">
      <c r="A494" s="695">
        <v>56291</v>
      </c>
      <c r="B494" s="558">
        <v>1000</v>
      </c>
      <c r="C494" s="693">
        <v>100</v>
      </c>
      <c r="D494" s="558">
        <v>2510</v>
      </c>
      <c r="F494" s="11" t="s">
        <v>1297</v>
      </c>
      <c r="G494" s="698">
        <v>1.17</v>
      </c>
      <c r="H494" s="12" t="s">
        <v>889</v>
      </c>
      <c r="I494" s="12" t="s">
        <v>893</v>
      </c>
      <c r="J494" s="12" t="s">
        <v>926</v>
      </c>
      <c r="K494" s="12" t="s">
        <v>895</v>
      </c>
      <c r="L494" s="12"/>
      <c r="M494" s="11"/>
      <c r="N494" s="11"/>
      <c r="O494" s="11"/>
      <c r="P494" s="11"/>
    </row>
    <row r="495" spans="1:16" x14ac:dyDescent="0.25">
      <c r="A495" s="694">
        <v>56291</v>
      </c>
      <c r="B495" s="558">
        <v>1000</v>
      </c>
      <c r="C495" s="693">
        <v>100</v>
      </c>
      <c r="D495" s="558">
        <v>2600</v>
      </c>
      <c r="F495" s="11" t="s">
        <v>1297</v>
      </c>
      <c r="G495" s="698">
        <v>79.510000000000005</v>
      </c>
      <c r="H495" s="12" t="s">
        <v>889</v>
      </c>
      <c r="I495" s="12" t="s">
        <v>893</v>
      </c>
      <c r="J495" s="12" t="s">
        <v>930</v>
      </c>
      <c r="K495" s="12" t="s">
        <v>895</v>
      </c>
      <c r="L495" s="12"/>
      <c r="M495" s="11"/>
      <c r="N495" s="11"/>
      <c r="O495" s="11"/>
      <c r="P495" s="11"/>
    </row>
    <row r="496" spans="1:16" x14ac:dyDescent="0.25">
      <c r="A496" s="694">
        <v>56292</v>
      </c>
      <c r="B496" s="558">
        <v>1000</v>
      </c>
      <c r="C496" s="693">
        <v>100</v>
      </c>
      <c r="D496" s="558">
        <v>1000</v>
      </c>
      <c r="F496" s="11" t="s">
        <v>1298</v>
      </c>
      <c r="G496" s="698">
        <v>75.53</v>
      </c>
      <c r="H496" s="12" t="s">
        <v>889</v>
      </c>
      <c r="I496" s="12" t="s">
        <v>893</v>
      </c>
      <c r="J496" s="12" t="s">
        <v>894</v>
      </c>
      <c r="K496" s="12" t="s">
        <v>895</v>
      </c>
      <c r="L496" s="12"/>
      <c r="M496" s="11"/>
      <c r="N496" s="11"/>
      <c r="O496" s="11"/>
      <c r="P496" s="11"/>
    </row>
    <row r="497" spans="1:16" x14ac:dyDescent="0.25">
      <c r="A497" s="694">
        <v>56311</v>
      </c>
      <c r="B497" s="558">
        <v>1000</v>
      </c>
      <c r="C497" s="693">
        <v>100</v>
      </c>
      <c r="D497" s="558">
        <v>2500</v>
      </c>
      <c r="F497" s="11" t="s">
        <v>1299</v>
      </c>
      <c r="G497" s="698">
        <v>2185.42</v>
      </c>
      <c r="H497" s="12" t="s">
        <v>889</v>
      </c>
      <c r="I497" s="12" t="s">
        <v>893</v>
      </c>
      <c r="J497" s="12" t="s">
        <v>926</v>
      </c>
      <c r="K497" s="12" t="s">
        <v>899</v>
      </c>
      <c r="L497" s="12"/>
      <c r="M497" s="11"/>
      <c r="N497" s="11"/>
      <c r="O497" s="11"/>
      <c r="P497" s="11"/>
    </row>
    <row r="498" spans="1:16" x14ac:dyDescent="0.25">
      <c r="A498" s="694">
        <v>56312</v>
      </c>
      <c r="B498" s="558">
        <v>1000</v>
      </c>
      <c r="C498" s="693">
        <v>100</v>
      </c>
      <c r="D498" s="558">
        <v>2500</v>
      </c>
      <c r="F498" s="11" t="s">
        <v>1300</v>
      </c>
      <c r="G498" s="698">
        <v>974.87</v>
      </c>
      <c r="H498" s="12" t="s">
        <v>889</v>
      </c>
      <c r="I498" s="12" t="s">
        <v>893</v>
      </c>
      <c r="J498" s="12" t="s">
        <v>926</v>
      </c>
      <c r="K498" s="12" t="s">
        <v>899</v>
      </c>
      <c r="L498" s="12"/>
      <c r="M498" s="11"/>
      <c r="N498" s="11"/>
      <c r="O498" s="11"/>
      <c r="P498" s="11"/>
    </row>
    <row r="499" spans="1:16" x14ac:dyDescent="0.25">
      <c r="A499" s="695">
        <v>56325</v>
      </c>
      <c r="B499" s="558">
        <v>1000</v>
      </c>
      <c r="C499" s="693">
        <v>100</v>
      </c>
      <c r="D499" s="558">
        <v>1000</v>
      </c>
      <c r="F499" s="11" t="s">
        <v>1301</v>
      </c>
      <c r="G499" s="698">
        <v>149797.01999999999</v>
      </c>
      <c r="H499" s="12" t="s">
        <v>889</v>
      </c>
      <c r="I499" s="12" t="s">
        <v>893</v>
      </c>
      <c r="J499" s="12" t="s">
        <v>894</v>
      </c>
      <c r="K499" s="12" t="s">
        <v>899</v>
      </c>
      <c r="L499" s="12"/>
      <c r="M499" s="11"/>
      <c r="N499" s="11"/>
      <c r="O499" s="11"/>
      <c r="P499" s="11"/>
    </row>
    <row r="500" spans="1:16" x14ac:dyDescent="0.25">
      <c r="A500" s="695">
        <v>56325</v>
      </c>
      <c r="B500" s="558">
        <v>1000</v>
      </c>
      <c r="C500" s="693">
        <v>200</v>
      </c>
      <c r="D500" s="558">
        <v>1000</v>
      </c>
      <c r="F500" s="11" t="s">
        <v>1301</v>
      </c>
      <c r="G500" s="698">
        <v>866.87</v>
      </c>
      <c r="H500" s="12" t="s">
        <v>889</v>
      </c>
      <c r="I500" s="12" t="s">
        <v>897</v>
      </c>
      <c r="J500" s="12" t="s">
        <v>894</v>
      </c>
      <c r="K500" s="12" t="s">
        <v>899</v>
      </c>
      <c r="L500" s="12"/>
      <c r="M500" s="11"/>
      <c r="N500" s="11"/>
      <c r="O500" s="11"/>
      <c r="P500" s="11"/>
    </row>
    <row r="501" spans="1:16" x14ac:dyDescent="0.25">
      <c r="A501" s="694">
        <v>56325</v>
      </c>
      <c r="B501" s="558">
        <v>1000</v>
      </c>
      <c r="C501" s="693">
        <v>200</v>
      </c>
      <c r="D501" s="558">
        <v>2100</v>
      </c>
      <c r="F501" s="11" t="s">
        <v>1301</v>
      </c>
      <c r="G501" s="698">
        <v>41861.699999999997</v>
      </c>
      <c r="H501" s="12" t="s">
        <v>889</v>
      </c>
      <c r="I501" s="12" t="s">
        <v>897</v>
      </c>
      <c r="J501" s="12" t="s">
        <v>902</v>
      </c>
      <c r="K501" s="12" t="s">
        <v>899</v>
      </c>
      <c r="L501" s="12"/>
      <c r="M501" s="11"/>
      <c r="N501" s="11"/>
      <c r="O501" s="11"/>
      <c r="P501" s="11"/>
    </row>
    <row r="502" spans="1:16" x14ac:dyDescent="0.25">
      <c r="A502" s="695">
        <v>56327</v>
      </c>
      <c r="B502" s="558">
        <v>1000</v>
      </c>
      <c r="C502" s="693">
        <v>200</v>
      </c>
      <c r="D502" s="558">
        <v>2100</v>
      </c>
      <c r="F502" s="11" t="s">
        <v>1302</v>
      </c>
      <c r="G502" s="698">
        <v>7089.3</v>
      </c>
      <c r="H502" s="12" t="s">
        <v>889</v>
      </c>
      <c r="I502" s="12" t="s">
        <v>897</v>
      </c>
      <c r="J502" s="12" t="s">
        <v>902</v>
      </c>
      <c r="K502" s="12" t="s">
        <v>899</v>
      </c>
      <c r="L502" s="12"/>
      <c r="M502" s="11"/>
      <c r="N502" s="11"/>
      <c r="O502" s="11"/>
      <c r="P502" s="11"/>
    </row>
    <row r="503" spans="1:16" x14ac:dyDescent="0.25">
      <c r="A503" s="695">
        <v>56327</v>
      </c>
      <c r="B503" s="558">
        <v>1220</v>
      </c>
      <c r="C503" s="693">
        <v>200</v>
      </c>
      <c r="D503" s="558">
        <v>2100</v>
      </c>
      <c r="F503" s="11" t="s">
        <v>1302</v>
      </c>
      <c r="G503" s="698">
        <v>36704.18</v>
      </c>
      <c r="H503" s="12" t="s">
        <v>932</v>
      </c>
      <c r="I503" s="12" t="s">
        <v>897</v>
      </c>
      <c r="J503" s="12" t="s">
        <v>902</v>
      </c>
      <c r="K503" s="12" t="s">
        <v>899</v>
      </c>
      <c r="L503" s="12"/>
      <c r="M503" s="11"/>
      <c r="N503" s="11"/>
      <c r="O503" s="11"/>
      <c r="P503" s="11"/>
    </row>
    <row r="504" spans="1:16" x14ac:dyDescent="0.25">
      <c r="A504" s="695">
        <v>56327</v>
      </c>
      <c r="B504" s="558">
        <v>1229</v>
      </c>
      <c r="C504" s="693">
        <v>200</v>
      </c>
      <c r="D504" s="558">
        <v>2100</v>
      </c>
      <c r="F504" s="11" t="s">
        <v>1302</v>
      </c>
      <c r="G504" s="698">
        <v>4740</v>
      </c>
      <c r="H504" s="12" t="s">
        <v>940</v>
      </c>
      <c r="I504" s="12" t="s">
        <v>897</v>
      </c>
      <c r="J504" s="12" t="s">
        <v>902</v>
      </c>
      <c r="K504" s="12" t="s">
        <v>899</v>
      </c>
      <c r="L504" s="12"/>
      <c r="M504" s="11"/>
      <c r="N504" s="11"/>
      <c r="O504" s="11"/>
      <c r="P504" s="11"/>
    </row>
    <row r="505" spans="1:16" x14ac:dyDescent="0.25">
      <c r="A505" s="694">
        <v>56327</v>
      </c>
      <c r="B505" s="558">
        <v>1488</v>
      </c>
      <c r="C505" s="693">
        <v>200</v>
      </c>
      <c r="D505" s="558">
        <v>2100</v>
      </c>
      <c r="F505" s="11" t="s">
        <v>1302</v>
      </c>
      <c r="G505" s="698">
        <v>3450</v>
      </c>
      <c r="H505" s="12" t="s">
        <v>995</v>
      </c>
      <c r="I505" s="12" t="s">
        <v>897</v>
      </c>
      <c r="J505" s="12" t="s">
        <v>902</v>
      </c>
      <c r="K505" s="12" t="s">
        <v>899</v>
      </c>
      <c r="L505" s="12"/>
      <c r="M505" s="11"/>
      <c r="N505" s="11"/>
      <c r="O505" s="11"/>
      <c r="P505" s="11"/>
    </row>
    <row r="506" spans="1:16" x14ac:dyDescent="0.25">
      <c r="A506" s="695">
        <v>56328</v>
      </c>
      <c r="B506" s="558">
        <v>1000</v>
      </c>
      <c r="C506" s="693">
        <v>100</v>
      </c>
      <c r="D506" s="558">
        <v>2100</v>
      </c>
      <c r="F506" s="11" t="s">
        <v>1303</v>
      </c>
      <c r="G506" s="698">
        <v>531.27</v>
      </c>
      <c r="H506" s="12" t="s">
        <v>889</v>
      </c>
      <c r="I506" s="12" t="s">
        <v>893</v>
      </c>
      <c r="J506" s="12" t="s">
        <v>902</v>
      </c>
      <c r="K506" s="12" t="s">
        <v>899</v>
      </c>
      <c r="L506" s="12"/>
      <c r="M506" s="11"/>
      <c r="N506" s="11"/>
      <c r="O506" s="11"/>
      <c r="P506" s="11"/>
    </row>
    <row r="507" spans="1:16" x14ac:dyDescent="0.25">
      <c r="A507" s="695">
        <v>56328</v>
      </c>
      <c r="B507" s="558">
        <v>1000</v>
      </c>
      <c r="C507" s="693">
        <v>100</v>
      </c>
      <c r="D507" s="558">
        <v>2200</v>
      </c>
      <c r="F507" s="11" t="s">
        <v>1303</v>
      </c>
      <c r="G507" s="698">
        <v>6727.67</v>
      </c>
      <c r="H507" s="12" t="s">
        <v>889</v>
      </c>
      <c r="I507" s="12" t="s">
        <v>893</v>
      </c>
      <c r="J507" s="12" t="s">
        <v>906</v>
      </c>
      <c r="K507" s="12" t="s">
        <v>899</v>
      </c>
      <c r="L507" s="12"/>
      <c r="M507" s="11"/>
      <c r="N507" s="11"/>
      <c r="O507" s="11"/>
      <c r="P507" s="11"/>
    </row>
    <row r="508" spans="1:16" x14ac:dyDescent="0.25">
      <c r="A508" s="695">
        <v>56328</v>
      </c>
      <c r="B508" s="558">
        <v>1000</v>
      </c>
      <c r="C508" s="693">
        <v>100</v>
      </c>
      <c r="D508" s="558">
        <v>2220</v>
      </c>
      <c r="F508" s="11" t="s">
        <v>1303</v>
      </c>
      <c r="G508" s="698">
        <v>150</v>
      </c>
      <c r="H508" s="12" t="s">
        <v>889</v>
      </c>
      <c r="I508" s="12" t="s">
        <v>893</v>
      </c>
      <c r="J508" s="12" t="s">
        <v>910</v>
      </c>
      <c r="K508" s="12" t="s">
        <v>899</v>
      </c>
      <c r="L508" s="12"/>
      <c r="M508" s="11"/>
      <c r="N508" s="11"/>
      <c r="O508" s="11"/>
      <c r="P508" s="11"/>
    </row>
    <row r="509" spans="1:16" x14ac:dyDescent="0.25">
      <c r="A509" s="695">
        <v>56328</v>
      </c>
      <c r="B509" s="558">
        <v>1000</v>
      </c>
      <c r="C509" s="693">
        <v>100</v>
      </c>
      <c r="D509" s="558">
        <v>2300</v>
      </c>
      <c r="F509" s="11" t="s">
        <v>1303</v>
      </c>
      <c r="G509" s="698">
        <v>344.42</v>
      </c>
      <c r="H509" s="12" t="s">
        <v>889</v>
      </c>
      <c r="I509" s="12" t="s">
        <v>893</v>
      </c>
      <c r="J509" s="12" t="s">
        <v>918</v>
      </c>
      <c r="K509" s="12" t="s">
        <v>899</v>
      </c>
      <c r="L509" s="12"/>
      <c r="M509" s="11"/>
      <c r="N509" s="11"/>
      <c r="O509" s="11"/>
      <c r="P509" s="11"/>
    </row>
    <row r="510" spans="1:16" x14ac:dyDescent="0.25">
      <c r="A510" s="695">
        <v>56328</v>
      </c>
      <c r="B510" s="558">
        <v>1000</v>
      </c>
      <c r="C510" s="693">
        <v>100</v>
      </c>
      <c r="D510" s="558">
        <v>2400</v>
      </c>
      <c r="F510" s="11" t="s">
        <v>1303</v>
      </c>
      <c r="G510" s="698">
        <v>111.13</v>
      </c>
      <c r="H510" s="12" t="s">
        <v>889</v>
      </c>
      <c r="I510" s="12" t="s">
        <v>893</v>
      </c>
      <c r="J510" s="12" t="s">
        <v>922</v>
      </c>
      <c r="K510" s="12" t="s">
        <v>899</v>
      </c>
      <c r="L510" s="12"/>
      <c r="M510" s="11"/>
      <c r="N510" s="11"/>
      <c r="O510" s="11"/>
      <c r="P510" s="11"/>
    </row>
    <row r="511" spans="1:16" x14ac:dyDescent="0.25">
      <c r="A511" s="695">
        <v>56328</v>
      </c>
      <c r="B511" s="558">
        <v>1000</v>
      </c>
      <c r="C511" s="693">
        <v>100</v>
      </c>
      <c r="D511" s="558">
        <v>2500</v>
      </c>
      <c r="F511" s="11" t="s">
        <v>1303</v>
      </c>
      <c r="G511" s="698">
        <v>3744.6</v>
      </c>
      <c r="H511" s="12" t="s">
        <v>889</v>
      </c>
      <c r="I511" s="12" t="s">
        <v>893</v>
      </c>
      <c r="J511" s="12" t="s">
        <v>926</v>
      </c>
      <c r="K511" s="12" t="s">
        <v>899</v>
      </c>
      <c r="L511" s="12"/>
      <c r="M511" s="11"/>
      <c r="N511" s="11"/>
      <c r="O511" s="11"/>
      <c r="P511" s="11"/>
    </row>
    <row r="512" spans="1:16" x14ac:dyDescent="0.25">
      <c r="A512" s="695">
        <v>56328</v>
      </c>
      <c r="B512" s="558">
        <v>1000</v>
      </c>
      <c r="C512" s="693">
        <v>100</v>
      </c>
      <c r="D512" s="558">
        <v>2510</v>
      </c>
      <c r="F512" s="11" t="s">
        <v>1303</v>
      </c>
      <c r="G512" s="698">
        <v>83.67</v>
      </c>
      <c r="H512" s="12" t="s">
        <v>889</v>
      </c>
      <c r="I512" s="12" t="s">
        <v>893</v>
      </c>
      <c r="J512" s="12" t="s">
        <v>926</v>
      </c>
      <c r="K512" s="12" t="s">
        <v>899</v>
      </c>
      <c r="L512" s="12"/>
      <c r="M512" s="11"/>
      <c r="N512" s="11"/>
      <c r="O512" s="11"/>
      <c r="P512" s="11"/>
    </row>
    <row r="513" spans="1:16" x14ac:dyDescent="0.25">
      <c r="A513" s="695">
        <v>56328</v>
      </c>
      <c r="B513" s="558">
        <v>1000</v>
      </c>
      <c r="C513" s="693">
        <v>200</v>
      </c>
      <c r="D513" s="558">
        <v>2100</v>
      </c>
      <c r="F513" s="11" t="s">
        <v>1303</v>
      </c>
      <c r="G513" s="698">
        <v>195.89</v>
      </c>
      <c r="H513" s="12" t="s">
        <v>889</v>
      </c>
      <c r="I513" s="12" t="s">
        <v>897</v>
      </c>
      <c r="J513" s="12" t="s">
        <v>902</v>
      </c>
      <c r="K513" s="12" t="s">
        <v>899</v>
      </c>
      <c r="L513" s="12"/>
      <c r="M513" s="11"/>
      <c r="N513" s="11"/>
      <c r="O513" s="11"/>
      <c r="P513" s="11"/>
    </row>
    <row r="514" spans="1:16" x14ac:dyDescent="0.25">
      <c r="A514" s="695">
        <v>56328</v>
      </c>
      <c r="B514" s="558">
        <v>1000</v>
      </c>
      <c r="C514" s="693">
        <v>200</v>
      </c>
      <c r="D514" s="558">
        <v>2200</v>
      </c>
      <c r="F514" s="11" t="s">
        <v>1303</v>
      </c>
      <c r="G514" s="698">
        <v>108.43</v>
      </c>
      <c r="H514" s="12" t="s">
        <v>889</v>
      </c>
      <c r="I514" s="12" t="s">
        <v>897</v>
      </c>
      <c r="J514" s="12" t="s">
        <v>906</v>
      </c>
      <c r="K514" s="12" t="s">
        <v>899</v>
      </c>
      <c r="L514" s="12"/>
      <c r="M514" s="11"/>
      <c r="N514" s="11"/>
      <c r="O514" s="11"/>
      <c r="P514" s="11"/>
    </row>
    <row r="515" spans="1:16" x14ac:dyDescent="0.25">
      <c r="A515" s="695">
        <v>56328</v>
      </c>
      <c r="B515" s="558">
        <v>1000</v>
      </c>
      <c r="C515" s="693">
        <v>240</v>
      </c>
      <c r="D515" s="558">
        <v>2100</v>
      </c>
      <c r="F515" s="11" t="s">
        <v>1303</v>
      </c>
      <c r="G515" s="698">
        <v>75.430000000000007</v>
      </c>
      <c r="H515" s="12" t="s">
        <v>889</v>
      </c>
      <c r="I515" s="12" t="s">
        <v>897</v>
      </c>
      <c r="J515" s="12" t="s">
        <v>902</v>
      </c>
      <c r="K515" s="12" t="s">
        <v>899</v>
      </c>
      <c r="L515" s="12"/>
      <c r="M515" s="11"/>
      <c r="N515" s="11"/>
      <c r="O515" s="11"/>
      <c r="P515" s="11"/>
    </row>
    <row r="516" spans="1:16" x14ac:dyDescent="0.25">
      <c r="A516" s="695">
        <v>56328</v>
      </c>
      <c r="B516" s="558">
        <v>1000</v>
      </c>
      <c r="C516" s="693">
        <v>240</v>
      </c>
      <c r="D516" s="558">
        <v>2200</v>
      </c>
      <c r="F516" s="11" t="s">
        <v>1303</v>
      </c>
      <c r="G516" s="698">
        <v>18.28</v>
      </c>
      <c r="H516" s="12" t="s">
        <v>889</v>
      </c>
      <c r="I516" s="12" t="s">
        <v>897</v>
      </c>
      <c r="J516" s="12" t="s">
        <v>906</v>
      </c>
      <c r="K516" s="12" t="s">
        <v>899</v>
      </c>
      <c r="L516" s="12"/>
      <c r="M516" s="11"/>
      <c r="N516" s="11"/>
      <c r="O516" s="11"/>
      <c r="P516" s="11"/>
    </row>
    <row r="517" spans="1:16" x14ac:dyDescent="0.25">
      <c r="A517" s="695">
        <v>56328</v>
      </c>
      <c r="B517" s="558">
        <v>1591</v>
      </c>
      <c r="C517" s="693">
        <v>100</v>
      </c>
      <c r="D517" s="558">
        <v>3100</v>
      </c>
      <c r="F517" s="11" t="s">
        <v>1303</v>
      </c>
      <c r="G517" s="698">
        <v>12.19</v>
      </c>
      <c r="H517" s="12" t="s">
        <v>997</v>
      </c>
      <c r="I517" s="12" t="s">
        <v>893</v>
      </c>
      <c r="J517" s="12" t="s">
        <v>942</v>
      </c>
      <c r="K517" s="12" t="s">
        <v>899</v>
      </c>
      <c r="L517" s="12"/>
      <c r="M517" s="11"/>
      <c r="N517" s="11"/>
      <c r="O517" s="11"/>
      <c r="P517" s="11"/>
    </row>
    <row r="518" spans="1:16" x14ac:dyDescent="0.25">
      <c r="A518" s="694">
        <v>56328</v>
      </c>
      <c r="B518" s="558" t="s">
        <v>1245</v>
      </c>
      <c r="C518" s="693">
        <v>100</v>
      </c>
      <c r="D518" s="558">
        <v>2500</v>
      </c>
      <c r="F518" s="11" t="s">
        <v>1303</v>
      </c>
      <c r="G518" s="698">
        <v>245</v>
      </c>
      <c r="H518" s="12" t="s">
        <v>904</v>
      </c>
      <c r="I518" s="12" t="s">
        <v>893</v>
      </c>
      <c r="J518" s="12" t="s">
        <v>926</v>
      </c>
      <c r="K518" s="12" t="s">
        <v>899</v>
      </c>
      <c r="L518" s="12"/>
      <c r="M518" s="11"/>
      <c r="N518" s="11"/>
      <c r="O518" s="11"/>
      <c r="P518" s="11"/>
    </row>
    <row r="519" spans="1:16" x14ac:dyDescent="0.25">
      <c r="A519" s="695">
        <v>56329</v>
      </c>
      <c r="B519" s="558">
        <v>1000</v>
      </c>
      <c r="C519" s="693">
        <v>100</v>
      </c>
      <c r="D519" s="558">
        <v>1000</v>
      </c>
      <c r="F519" s="11" t="s">
        <v>1304</v>
      </c>
      <c r="G519" s="698">
        <v>54.17</v>
      </c>
      <c r="H519" s="12" t="s">
        <v>889</v>
      </c>
      <c r="I519" s="12" t="s">
        <v>893</v>
      </c>
      <c r="J519" s="12" t="s">
        <v>894</v>
      </c>
      <c r="K519" s="12" t="s">
        <v>899</v>
      </c>
      <c r="L519" s="12"/>
      <c r="M519" s="11"/>
      <c r="N519" s="11"/>
      <c r="O519" s="11"/>
      <c r="P519" s="11"/>
    </row>
    <row r="520" spans="1:16" x14ac:dyDescent="0.25">
      <c r="A520" s="695">
        <v>56329</v>
      </c>
      <c r="B520" s="558">
        <v>1000</v>
      </c>
      <c r="C520" s="693">
        <v>100</v>
      </c>
      <c r="D520" s="558">
        <v>2100</v>
      </c>
      <c r="F520" s="11" t="s">
        <v>1304</v>
      </c>
      <c r="G520" s="698">
        <v>4299.04</v>
      </c>
      <c r="H520" s="12" t="s">
        <v>889</v>
      </c>
      <c r="I520" s="12" t="s">
        <v>893</v>
      </c>
      <c r="J520" s="12" t="s">
        <v>902</v>
      </c>
      <c r="K520" s="12" t="s">
        <v>899</v>
      </c>
      <c r="L520" s="12"/>
      <c r="M520" s="11"/>
      <c r="N520" s="11"/>
      <c r="O520" s="11"/>
      <c r="P520" s="11"/>
    </row>
    <row r="521" spans="1:16" x14ac:dyDescent="0.25">
      <c r="A521" s="695">
        <v>56329</v>
      </c>
      <c r="B521" s="558">
        <v>1000</v>
      </c>
      <c r="C521" s="693">
        <v>100</v>
      </c>
      <c r="D521" s="558">
        <v>2200</v>
      </c>
      <c r="F521" s="11" t="s">
        <v>1304</v>
      </c>
      <c r="G521" s="698">
        <v>729.04</v>
      </c>
      <c r="H521" s="12" t="s">
        <v>889</v>
      </c>
      <c r="I521" s="12" t="s">
        <v>893</v>
      </c>
      <c r="J521" s="12" t="s">
        <v>906</v>
      </c>
      <c r="K521" s="12" t="s">
        <v>899</v>
      </c>
      <c r="L521" s="12"/>
      <c r="M521" s="11"/>
      <c r="N521" s="11"/>
      <c r="O521" s="11"/>
      <c r="P521" s="11"/>
    </row>
    <row r="522" spans="1:16" x14ac:dyDescent="0.25">
      <c r="A522" s="695">
        <v>56329</v>
      </c>
      <c r="B522" s="558">
        <v>1000</v>
      </c>
      <c r="C522" s="693">
        <v>100</v>
      </c>
      <c r="D522" s="558">
        <v>2300</v>
      </c>
      <c r="F522" s="11" t="s">
        <v>1304</v>
      </c>
      <c r="G522" s="698">
        <v>1.0900000000000001</v>
      </c>
      <c r="H522" s="12" t="s">
        <v>889</v>
      </c>
      <c r="I522" s="12" t="s">
        <v>893</v>
      </c>
      <c r="J522" s="12" t="s">
        <v>918</v>
      </c>
      <c r="K522" s="12" t="s">
        <v>899</v>
      </c>
      <c r="L522" s="12"/>
      <c r="M522" s="11"/>
      <c r="N522" s="11"/>
      <c r="O522" s="11"/>
      <c r="P522" s="11"/>
    </row>
    <row r="523" spans="1:16" x14ac:dyDescent="0.25">
      <c r="A523" s="695">
        <v>56329</v>
      </c>
      <c r="B523" s="558">
        <v>1000</v>
      </c>
      <c r="C523" s="693">
        <v>100</v>
      </c>
      <c r="D523" s="558">
        <v>2500</v>
      </c>
      <c r="F523" s="11" t="s">
        <v>1304</v>
      </c>
      <c r="G523" s="698">
        <v>97763.96</v>
      </c>
      <c r="H523" s="12" t="s">
        <v>889</v>
      </c>
      <c r="I523" s="12" t="s">
        <v>893</v>
      </c>
      <c r="J523" s="12" t="s">
        <v>926</v>
      </c>
      <c r="K523" s="12" t="s">
        <v>899</v>
      </c>
      <c r="L523" s="12"/>
      <c r="M523" s="11"/>
      <c r="N523" s="11"/>
      <c r="O523" s="11"/>
      <c r="P523" s="11"/>
    </row>
    <row r="524" spans="1:16" x14ac:dyDescent="0.25">
      <c r="A524" s="695">
        <v>56329</v>
      </c>
      <c r="B524" s="558">
        <v>1000</v>
      </c>
      <c r="C524" s="693">
        <v>100</v>
      </c>
      <c r="D524" s="558">
        <v>2510</v>
      </c>
      <c r="F524" s="11" t="s">
        <v>1304</v>
      </c>
      <c r="G524" s="698">
        <v>7183.95</v>
      </c>
      <c r="H524" s="12" t="s">
        <v>889</v>
      </c>
      <c r="I524" s="12" t="s">
        <v>893</v>
      </c>
      <c r="J524" s="12" t="s">
        <v>926</v>
      </c>
      <c r="K524" s="12" t="s">
        <v>899</v>
      </c>
      <c r="L524" s="12"/>
      <c r="M524" s="11"/>
      <c r="N524" s="11"/>
      <c r="O524" s="11"/>
      <c r="P524" s="11"/>
    </row>
    <row r="525" spans="1:16" x14ac:dyDescent="0.25">
      <c r="A525" s="695">
        <v>56329</v>
      </c>
      <c r="B525" s="558">
        <v>1000</v>
      </c>
      <c r="C525" s="693">
        <v>100</v>
      </c>
      <c r="D525" s="558">
        <v>2520</v>
      </c>
      <c r="F525" s="11" t="s">
        <v>1304</v>
      </c>
      <c r="G525" s="698">
        <v>287.12</v>
      </c>
      <c r="H525" s="12" t="s">
        <v>889</v>
      </c>
      <c r="I525" s="12" t="s">
        <v>893</v>
      </c>
      <c r="J525" s="12" t="s">
        <v>926</v>
      </c>
      <c r="K525" s="12" t="s">
        <v>899</v>
      </c>
      <c r="L525" s="12"/>
      <c r="M525" s="11"/>
      <c r="N525" s="11"/>
      <c r="O525" s="11"/>
      <c r="P525" s="11"/>
    </row>
    <row r="526" spans="1:16" x14ac:dyDescent="0.25">
      <c r="A526" s="695">
        <v>56329</v>
      </c>
      <c r="B526" s="558">
        <v>1000</v>
      </c>
      <c r="C526" s="693">
        <v>200</v>
      </c>
      <c r="D526" s="558">
        <v>2100</v>
      </c>
      <c r="F526" s="11" t="s">
        <v>1304</v>
      </c>
      <c r="G526" s="698">
        <v>4366.22</v>
      </c>
      <c r="H526" s="12" t="s">
        <v>889</v>
      </c>
      <c r="I526" s="12" t="s">
        <v>897</v>
      </c>
      <c r="J526" s="12" t="s">
        <v>902</v>
      </c>
      <c r="K526" s="12" t="s">
        <v>899</v>
      </c>
      <c r="L526" s="12"/>
      <c r="M526" s="11"/>
      <c r="N526" s="11"/>
      <c r="O526" s="11"/>
      <c r="P526" s="11"/>
    </row>
    <row r="527" spans="1:16" x14ac:dyDescent="0.25">
      <c r="A527" s="695">
        <v>56329</v>
      </c>
      <c r="B527" s="558">
        <v>1000</v>
      </c>
      <c r="C527" s="693">
        <v>200</v>
      </c>
      <c r="D527" s="558">
        <v>2200</v>
      </c>
      <c r="F527" s="11" t="s">
        <v>1304</v>
      </c>
      <c r="G527" s="698">
        <v>133.28</v>
      </c>
      <c r="H527" s="12" t="s">
        <v>889</v>
      </c>
      <c r="I527" s="12" t="s">
        <v>897</v>
      </c>
      <c r="J527" s="12" t="s">
        <v>906</v>
      </c>
      <c r="K527" s="12" t="s">
        <v>899</v>
      </c>
      <c r="L527" s="12"/>
      <c r="M527" s="11"/>
      <c r="N527" s="11"/>
      <c r="O527" s="11"/>
      <c r="P527" s="11"/>
    </row>
    <row r="528" spans="1:16" x14ac:dyDescent="0.25">
      <c r="A528" s="695">
        <v>56329</v>
      </c>
      <c r="B528" s="558">
        <v>1229</v>
      </c>
      <c r="C528" s="693">
        <v>200</v>
      </c>
      <c r="D528" s="558">
        <v>2100</v>
      </c>
      <c r="F528" s="11" t="s">
        <v>1304</v>
      </c>
      <c r="G528" s="698">
        <v>3000</v>
      </c>
      <c r="H528" s="12" t="s">
        <v>940</v>
      </c>
      <c r="I528" s="12" t="s">
        <v>897</v>
      </c>
      <c r="J528" s="12" t="s">
        <v>902</v>
      </c>
      <c r="K528" s="12" t="s">
        <v>899</v>
      </c>
      <c r="L528" s="12"/>
      <c r="M528" s="11"/>
      <c r="N528" s="11"/>
      <c r="O528" s="11"/>
      <c r="P528" s="11"/>
    </row>
    <row r="529" spans="1:16" x14ac:dyDescent="0.25">
      <c r="A529" s="695">
        <v>56329</v>
      </c>
      <c r="B529" s="558">
        <v>1488</v>
      </c>
      <c r="C529" s="693">
        <v>200</v>
      </c>
      <c r="D529" s="558">
        <v>2100</v>
      </c>
      <c r="F529" s="11" t="s">
        <v>1304</v>
      </c>
      <c r="G529" s="698">
        <v>540</v>
      </c>
      <c r="H529" s="12" t="s">
        <v>995</v>
      </c>
      <c r="I529" s="12" t="s">
        <v>897</v>
      </c>
      <c r="J529" s="12" t="s">
        <v>902</v>
      </c>
      <c r="K529" s="12" t="s">
        <v>899</v>
      </c>
      <c r="L529" s="12"/>
      <c r="M529" s="11"/>
      <c r="N529" s="11"/>
      <c r="O529" s="11"/>
      <c r="P529" s="11"/>
    </row>
    <row r="530" spans="1:16" x14ac:dyDescent="0.25">
      <c r="A530" s="694">
        <v>56329</v>
      </c>
      <c r="B530" s="558" t="s">
        <v>1245</v>
      </c>
      <c r="C530" s="693">
        <v>100</v>
      </c>
      <c r="D530" s="558">
        <v>2500</v>
      </c>
      <c r="F530" s="11" t="s">
        <v>1304</v>
      </c>
      <c r="G530" s="698">
        <v>450</v>
      </c>
      <c r="H530" s="12" t="s">
        <v>904</v>
      </c>
      <c r="I530" s="12" t="s">
        <v>893</v>
      </c>
      <c r="J530" s="12" t="s">
        <v>926</v>
      </c>
      <c r="K530" s="12" t="s">
        <v>899</v>
      </c>
      <c r="L530" s="12"/>
      <c r="M530" s="11"/>
      <c r="N530" s="11"/>
      <c r="O530" s="11"/>
      <c r="P530" s="11"/>
    </row>
    <row r="531" spans="1:16" x14ac:dyDescent="0.25">
      <c r="A531" s="694">
        <v>56331</v>
      </c>
      <c r="B531" s="558">
        <v>1000</v>
      </c>
      <c r="C531" s="693">
        <v>100</v>
      </c>
      <c r="D531" s="558">
        <v>2500</v>
      </c>
      <c r="F531" s="11" t="s">
        <v>1305</v>
      </c>
      <c r="G531" s="698">
        <v>80740.570000000007</v>
      </c>
      <c r="H531" s="12" t="s">
        <v>889</v>
      </c>
      <c r="I531" s="12" t="s">
        <v>893</v>
      </c>
      <c r="J531" s="12" t="s">
        <v>926</v>
      </c>
      <c r="K531" s="12" t="s">
        <v>899</v>
      </c>
      <c r="L531" s="12"/>
      <c r="M531" s="11"/>
      <c r="N531" s="11"/>
      <c r="O531" s="11"/>
      <c r="P531" s="11"/>
    </row>
    <row r="532" spans="1:16" x14ac:dyDescent="0.25">
      <c r="A532" s="694">
        <v>56333</v>
      </c>
      <c r="B532" s="558">
        <v>1000</v>
      </c>
      <c r="C532" s="693">
        <v>100</v>
      </c>
      <c r="D532" s="558">
        <v>2500</v>
      </c>
      <c r="F532" s="11" t="s">
        <v>1306</v>
      </c>
      <c r="G532" s="698">
        <v>6315.21</v>
      </c>
      <c r="H532" s="12" t="s">
        <v>889</v>
      </c>
      <c r="I532" s="12" t="s">
        <v>893</v>
      </c>
      <c r="J532" s="12" t="s">
        <v>926</v>
      </c>
      <c r="K532" s="12" t="s">
        <v>899</v>
      </c>
      <c r="L532" s="12"/>
      <c r="M532" s="11"/>
      <c r="N532" s="11"/>
      <c r="O532" s="11"/>
      <c r="P532" s="11"/>
    </row>
    <row r="533" spans="1:16" x14ac:dyDescent="0.25">
      <c r="A533" s="694">
        <v>56411</v>
      </c>
      <c r="B533" s="558">
        <v>1000</v>
      </c>
      <c r="C533" s="693">
        <v>100</v>
      </c>
      <c r="D533" s="558">
        <v>2600</v>
      </c>
      <c r="F533" s="11" t="s">
        <v>1307</v>
      </c>
      <c r="G533" s="698">
        <v>30455.32</v>
      </c>
      <c r="H533" s="12" t="s">
        <v>889</v>
      </c>
      <c r="I533" s="12" t="s">
        <v>893</v>
      </c>
      <c r="J533" s="12" t="s">
        <v>930</v>
      </c>
      <c r="K533" s="12" t="s">
        <v>899</v>
      </c>
      <c r="L533" s="12"/>
      <c r="M533" s="11"/>
      <c r="N533" s="11"/>
      <c r="O533" s="11"/>
      <c r="P533" s="11"/>
    </row>
    <row r="534" spans="1:16" x14ac:dyDescent="0.25">
      <c r="A534" s="695">
        <v>56421</v>
      </c>
      <c r="B534" s="558">
        <v>1000</v>
      </c>
      <c r="C534" s="693">
        <v>100</v>
      </c>
      <c r="D534" s="558">
        <v>2500</v>
      </c>
      <c r="F534" s="11" t="s">
        <v>1308</v>
      </c>
      <c r="G534" s="698">
        <v>72.75</v>
      </c>
      <c r="H534" s="12" t="s">
        <v>889</v>
      </c>
      <c r="I534" s="12" t="s">
        <v>893</v>
      </c>
      <c r="J534" s="12" t="s">
        <v>926</v>
      </c>
      <c r="K534" s="12" t="s">
        <v>899</v>
      </c>
      <c r="L534" s="12"/>
      <c r="M534" s="11"/>
      <c r="N534" s="11"/>
      <c r="O534" s="11"/>
      <c r="P534" s="11"/>
    </row>
    <row r="535" spans="1:16" x14ac:dyDescent="0.25">
      <c r="A535" s="694">
        <v>56421</v>
      </c>
      <c r="B535" s="558">
        <v>1000</v>
      </c>
      <c r="C535" s="693">
        <v>100</v>
      </c>
      <c r="D535" s="558">
        <v>2600</v>
      </c>
      <c r="F535" s="11" t="s">
        <v>1308</v>
      </c>
      <c r="G535" s="698">
        <v>17140.580000000002</v>
      </c>
      <c r="H535" s="12" t="s">
        <v>889</v>
      </c>
      <c r="I535" s="12" t="s">
        <v>893</v>
      </c>
      <c r="J535" s="12" t="s">
        <v>930</v>
      </c>
      <c r="K535" s="12" t="s">
        <v>899</v>
      </c>
      <c r="L535" s="12"/>
      <c r="M535" s="11"/>
      <c r="N535" s="11"/>
      <c r="O535" s="11"/>
      <c r="P535" s="11"/>
    </row>
    <row r="536" spans="1:16" x14ac:dyDescent="0.25">
      <c r="A536" s="695">
        <v>56424</v>
      </c>
      <c r="B536" s="558">
        <v>1000</v>
      </c>
      <c r="C536" s="693">
        <v>100</v>
      </c>
      <c r="D536" s="558">
        <v>2300</v>
      </c>
      <c r="F536" s="11" t="s">
        <v>1309</v>
      </c>
      <c r="G536" s="698">
        <v>9.83</v>
      </c>
      <c r="H536" s="12" t="s">
        <v>889</v>
      </c>
      <c r="I536" s="12" t="s">
        <v>893</v>
      </c>
      <c r="J536" s="12" t="s">
        <v>918</v>
      </c>
      <c r="K536" s="12" t="s">
        <v>899</v>
      </c>
      <c r="L536" s="12"/>
      <c r="M536" s="11"/>
      <c r="N536" s="11"/>
      <c r="O536" s="11"/>
      <c r="P536" s="11"/>
    </row>
    <row r="537" spans="1:16" x14ac:dyDescent="0.25">
      <c r="A537" s="694">
        <v>56424</v>
      </c>
      <c r="B537" s="558">
        <v>1000</v>
      </c>
      <c r="C537" s="693">
        <v>100</v>
      </c>
      <c r="D537" s="558">
        <v>2600</v>
      </c>
      <c r="F537" s="11" t="s">
        <v>1309</v>
      </c>
      <c r="G537" s="698">
        <v>109384.23</v>
      </c>
      <c r="H537" s="12" t="s">
        <v>889</v>
      </c>
      <c r="I537" s="12" t="s">
        <v>893</v>
      </c>
      <c r="J537" s="12" t="s">
        <v>930</v>
      </c>
      <c r="K537" s="12" t="s">
        <v>899</v>
      </c>
      <c r="L537" s="12"/>
      <c r="M537" s="11"/>
      <c r="N537" s="11"/>
      <c r="O537" s="11"/>
      <c r="P537" s="11"/>
    </row>
    <row r="538" spans="1:16" x14ac:dyDescent="0.25">
      <c r="A538" s="694">
        <v>56425</v>
      </c>
      <c r="B538" s="558">
        <v>1000</v>
      </c>
      <c r="C538" s="693">
        <v>100</v>
      </c>
      <c r="D538" s="558">
        <v>2600</v>
      </c>
      <c r="F538" s="11" t="s">
        <v>1310</v>
      </c>
      <c r="G538" s="698">
        <v>22817.89</v>
      </c>
      <c r="H538" s="12" t="s">
        <v>889</v>
      </c>
      <c r="I538" s="12" t="s">
        <v>893</v>
      </c>
      <c r="J538" s="12" t="s">
        <v>930</v>
      </c>
      <c r="K538" s="12" t="s">
        <v>899</v>
      </c>
      <c r="L538" s="12"/>
      <c r="M538" s="11"/>
      <c r="N538" s="11"/>
      <c r="O538" s="11"/>
      <c r="P538" s="11"/>
    </row>
    <row r="539" spans="1:16" x14ac:dyDescent="0.25">
      <c r="A539" s="694">
        <v>56427</v>
      </c>
      <c r="B539" s="558">
        <v>1000</v>
      </c>
      <c r="C539" s="693">
        <v>100</v>
      </c>
      <c r="D539" s="558">
        <v>2600</v>
      </c>
      <c r="F539" s="11" t="s">
        <v>1311</v>
      </c>
      <c r="G539" s="698">
        <v>1299.6300000000001</v>
      </c>
      <c r="H539" s="12" t="s">
        <v>889</v>
      </c>
      <c r="I539" s="12" t="s">
        <v>893</v>
      </c>
      <c r="J539" s="12" t="s">
        <v>930</v>
      </c>
      <c r="K539" s="12" t="s">
        <v>899</v>
      </c>
      <c r="L539" s="12"/>
      <c r="M539" s="11"/>
      <c r="N539" s="11"/>
      <c r="O539" s="11"/>
      <c r="P539" s="11"/>
    </row>
    <row r="540" spans="1:16" x14ac:dyDescent="0.25">
      <c r="A540" s="695">
        <v>56431</v>
      </c>
      <c r="B540" s="558">
        <v>1000</v>
      </c>
      <c r="C540" s="693">
        <v>100</v>
      </c>
      <c r="D540" s="558">
        <v>1000</v>
      </c>
      <c r="F540" s="11" t="s">
        <v>1312</v>
      </c>
      <c r="G540" s="698">
        <v>780</v>
      </c>
      <c r="H540" s="12" t="s">
        <v>889</v>
      </c>
      <c r="I540" s="12" t="s">
        <v>893</v>
      </c>
      <c r="J540" s="12" t="s">
        <v>894</v>
      </c>
      <c r="K540" s="12" t="s">
        <v>899</v>
      </c>
      <c r="L540" s="12"/>
      <c r="M540" s="11"/>
      <c r="N540" s="11"/>
      <c r="O540" s="11"/>
      <c r="P540" s="11"/>
    </row>
    <row r="541" spans="1:16" x14ac:dyDescent="0.25">
      <c r="A541" s="694">
        <v>56431</v>
      </c>
      <c r="B541" s="558">
        <v>1000</v>
      </c>
      <c r="C541" s="693">
        <v>100</v>
      </c>
      <c r="D541" s="558">
        <v>2600</v>
      </c>
      <c r="F541" s="11" t="s">
        <v>1312</v>
      </c>
      <c r="G541" s="698">
        <v>69524.14</v>
      </c>
      <c r="H541" s="12" t="s">
        <v>889</v>
      </c>
      <c r="I541" s="12" t="s">
        <v>893</v>
      </c>
      <c r="J541" s="12" t="s">
        <v>930</v>
      </c>
      <c r="K541" s="12" t="s">
        <v>899</v>
      </c>
      <c r="L541" s="12"/>
      <c r="M541" s="11"/>
      <c r="N541" s="11"/>
      <c r="O541" s="11"/>
      <c r="P541" s="11"/>
    </row>
    <row r="542" spans="1:16" x14ac:dyDescent="0.25">
      <c r="A542" s="695">
        <v>56432</v>
      </c>
      <c r="B542" s="558">
        <v>1000</v>
      </c>
      <c r="C542" s="693">
        <v>100</v>
      </c>
      <c r="D542" s="558">
        <v>1000</v>
      </c>
      <c r="F542" s="11" t="s">
        <v>1313</v>
      </c>
      <c r="G542" s="698">
        <v>593.79999999999995</v>
      </c>
      <c r="H542" s="12" t="s">
        <v>889</v>
      </c>
      <c r="I542" s="12" t="s">
        <v>893</v>
      </c>
      <c r="J542" s="12" t="s">
        <v>894</v>
      </c>
      <c r="K542" s="12" t="s">
        <v>899</v>
      </c>
      <c r="L542" s="12"/>
      <c r="M542" s="11"/>
      <c r="N542" s="11"/>
      <c r="O542" s="11"/>
      <c r="P542" s="11"/>
    </row>
    <row r="543" spans="1:16" x14ac:dyDescent="0.25">
      <c r="A543" s="694">
        <v>56432</v>
      </c>
      <c r="B543" s="558">
        <v>1000</v>
      </c>
      <c r="C543" s="693">
        <v>100</v>
      </c>
      <c r="D543" s="558">
        <v>2200</v>
      </c>
      <c r="F543" s="11" t="s">
        <v>1313</v>
      </c>
      <c r="G543" s="698">
        <v>34.1</v>
      </c>
      <c r="H543" s="12" t="s">
        <v>889</v>
      </c>
      <c r="I543" s="12" t="s">
        <v>893</v>
      </c>
      <c r="J543" s="12" t="s">
        <v>906</v>
      </c>
      <c r="K543" s="12" t="s">
        <v>899</v>
      </c>
      <c r="L543" s="12"/>
      <c r="M543" s="11"/>
      <c r="N543" s="11"/>
      <c r="O543" s="11"/>
      <c r="P543" s="11"/>
    </row>
    <row r="544" spans="1:16" x14ac:dyDescent="0.25">
      <c r="A544" s="695">
        <v>56440</v>
      </c>
      <c r="B544" s="558">
        <v>1000</v>
      </c>
      <c r="C544" s="693">
        <v>100</v>
      </c>
      <c r="D544" s="558">
        <v>2300</v>
      </c>
      <c r="F544" s="11" t="s">
        <v>1314</v>
      </c>
      <c r="G544" s="698">
        <v>50.5</v>
      </c>
      <c r="H544" s="12" t="s">
        <v>889</v>
      </c>
      <c r="I544" s="12" t="s">
        <v>893</v>
      </c>
      <c r="J544" s="12" t="s">
        <v>918</v>
      </c>
      <c r="K544" s="12" t="s">
        <v>899</v>
      </c>
      <c r="L544" s="12"/>
      <c r="M544" s="11"/>
      <c r="N544" s="11"/>
      <c r="O544" s="11"/>
      <c r="P544" s="11"/>
    </row>
    <row r="545" spans="1:16" x14ac:dyDescent="0.25">
      <c r="A545" s="695">
        <v>56440</v>
      </c>
      <c r="B545" s="558">
        <v>1000</v>
      </c>
      <c r="C545" s="693">
        <v>100</v>
      </c>
      <c r="D545" s="558">
        <v>2500</v>
      </c>
      <c r="F545" s="11" t="s">
        <v>1314</v>
      </c>
      <c r="G545" s="698">
        <v>1882.97</v>
      </c>
      <c r="H545" s="12" t="s">
        <v>889</v>
      </c>
      <c r="I545" s="12" t="s">
        <v>893</v>
      </c>
      <c r="J545" s="12" t="s">
        <v>926</v>
      </c>
      <c r="K545" s="12" t="s">
        <v>899</v>
      </c>
      <c r="L545" s="12"/>
      <c r="M545" s="11"/>
      <c r="N545" s="11"/>
      <c r="O545" s="11"/>
      <c r="P545" s="11"/>
    </row>
    <row r="546" spans="1:16" x14ac:dyDescent="0.25">
      <c r="A546" s="695">
        <v>56440</v>
      </c>
      <c r="B546" s="558">
        <v>1000</v>
      </c>
      <c r="C546" s="693">
        <v>100</v>
      </c>
      <c r="D546" s="558">
        <v>2600</v>
      </c>
      <c r="F546" s="11" t="s">
        <v>1314</v>
      </c>
      <c r="G546" s="698">
        <v>201058.46</v>
      </c>
      <c r="H546" s="12" t="s">
        <v>889</v>
      </c>
      <c r="I546" s="12" t="s">
        <v>893</v>
      </c>
      <c r="J546" s="12" t="s">
        <v>930</v>
      </c>
      <c r="K546" s="12" t="s">
        <v>899</v>
      </c>
      <c r="L546" s="12"/>
      <c r="M546" s="11"/>
      <c r="N546" s="11"/>
      <c r="O546" s="11"/>
      <c r="P546" s="11"/>
    </row>
    <row r="547" spans="1:16" x14ac:dyDescent="0.25">
      <c r="A547" s="694">
        <v>56440</v>
      </c>
      <c r="B547" s="558">
        <v>1000</v>
      </c>
      <c r="C547" s="693">
        <v>100</v>
      </c>
      <c r="D547" s="558">
        <v>3100</v>
      </c>
      <c r="F547" s="11" t="s">
        <v>1314</v>
      </c>
      <c r="G547" s="698">
        <v>695.1</v>
      </c>
      <c r="H547" s="12" t="s">
        <v>889</v>
      </c>
      <c r="I547" s="12" t="s">
        <v>893</v>
      </c>
      <c r="J547" s="12" t="s">
        <v>942</v>
      </c>
      <c r="K547" s="12" t="s">
        <v>899</v>
      </c>
      <c r="L547" s="12"/>
      <c r="M547" s="11"/>
      <c r="N547" s="11"/>
      <c r="O547" s="11"/>
      <c r="P547" s="11"/>
    </row>
    <row r="548" spans="1:16" x14ac:dyDescent="0.25">
      <c r="A548" s="695">
        <v>56443</v>
      </c>
      <c r="B548" s="558">
        <v>1000</v>
      </c>
      <c r="C548" s="693">
        <v>100</v>
      </c>
      <c r="D548" s="558">
        <v>1000</v>
      </c>
      <c r="F548" s="11" t="s">
        <v>1315</v>
      </c>
      <c r="G548" s="698">
        <v>7063.31</v>
      </c>
      <c r="H548" s="12" t="s">
        <v>889</v>
      </c>
      <c r="I548" s="12" t="s">
        <v>893</v>
      </c>
      <c r="J548" s="12" t="s">
        <v>894</v>
      </c>
      <c r="K548" s="12" t="s">
        <v>899</v>
      </c>
      <c r="L548" s="12"/>
      <c r="M548" s="11"/>
      <c r="N548" s="11"/>
      <c r="O548" s="11"/>
      <c r="P548" s="11"/>
    </row>
    <row r="549" spans="1:16" x14ac:dyDescent="0.25">
      <c r="A549" s="694">
        <v>56443</v>
      </c>
      <c r="B549" s="558">
        <v>1000</v>
      </c>
      <c r="C549" s="693">
        <v>100</v>
      </c>
      <c r="D549" s="558">
        <v>2500</v>
      </c>
      <c r="F549" s="11" t="s">
        <v>1315</v>
      </c>
      <c r="G549" s="698">
        <v>3137.33</v>
      </c>
      <c r="H549" s="12" t="s">
        <v>889</v>
      </c>
      <c r="I549" s="12" t="s">
        <v>893</v>
      </c>
      <c r="J549" s="12" t="s">
        <v>926</v>
      </c>
      <c r="K549" s="12" t="s">
        <v>899</v>
      </c>
      <c r="L549" s="12"/>
      <c r="M549" s="11"/>
      <c r="N549" s="11"/>
      <c r="O549" s="11"/>
      <c r="P549" s="11"/>
    </row>
    <row r="550" spans="1:16" x14ac:dyDescent="0.25">
      <c r="A550" s="695">
        <v>56510</v>
      </c>
      <c r="B550" s="558">
        <v>1000</v>
      </c>
      <c r="C550" s="693">
        <v>200</v>
      </c>
      <c r="D550" s="558">
        <v>2100</v>
      </c>
      <c r="F550" s="11" t="s">
        <v>1316</v>
      </c>
      <c r="G550" s="698">
        <v>1980</v>
      </c>
      <c r="H550" s="12" t="s">
        <v>889</v>
      </c>
      <c r="I550" s="12" t="s">
        <v>897</v>
      </c>
      <c r="J550" s="12" t="s">
        <v>902</v>
      </c>
      <c r="K550" s="12" t="s">
        <v>899</v>
      </c>
      <c r="L550" s="12"/>
      <c r="M550" s="11"/>
      <c r="N550" s="11"/>
      <c r="O550" s="11"/>
      <c r="P550" s="11"/>
    </row>
    <row r="551" spans="1:16" x14ac:dyDescent="0.25">
      <c r="A551" s="695">
        <v>56510</v>
      </c>
      <c r="B551" s="558">
        <v>1000</v>
      </c>
      <c r="C551" s="693">
        <v>200</v>
      </c>
      <c r="D551" s="558">
        <v>2700</v>
      </c>
      <c r="F551" s="11" t="s">
        <v>1316</v>
      </c>
      <c r="G551" s="698">
        <v>28104</v>
      </c>
      <c r="H551" s="12" t="s">
        <v>889</v>
      </c>
      <c r="I551" s="12" t="s">
        <v>913</v>
      </c>
      <c r="J551" s="12" t="s">
        <v>934</v>
      </c>
      <c r="K551" s="12" t="s">
        <v>899</v>
      </c>
      <c r="L551" s="12"/>
      <c r="M551" s="11"/>
      <c r="N551" s="11"/>
      <c r="O551" s="11"/>
      <c r="P551" s="11"/>
    </row>
    <row r="552" spans="1:16" x14ac:dyDescent="0.25">
      <c r="A552" s="695">
        <v>56510</v>
      </c>
      <c r="B552" s="558">
        <v>1000</v>
      </c>
      <c r="C552" s="693">
        <v>400</v>
      </c>
      <c r="D552" s="558">
        <v>2700</v>
      </c>
      <c r="F552" s="11" t="s">
        <v>1316</v>
      </c>
      <c r="G552" s="698">
        <v>44800.12</v>
      </c>
      <c r="H552" s="12" t="s">
        <v>889</v>
      </c>
      <c r="I552" s="12" t="s">
        <v>913</v>
      </c>
      <c r="J552" s="12" t="s">
        <v>934</v>
      </c>
      <c r="K552" s="12" t="s">
        <v>899</v>
      </c>
      <c r="L552" s="12"/>
      <c r="M552" s="11"/>
      <c r="N552" s="11"/>
      <c r="O552" s="11"/>
      <c r="P552" s="11"/>
    </row>
    <row r="553" spans="1:16" x14ac:dyDescent="0.25">
      <c r="A553" s="695">
        <v>56510</v>
      </c>
      <c r="B553" s="558">
        <v>1229</v>
      </c>
      <c r="C553" s="693">
        <v>200</v>
      </c>
      <c r="D553" s="558">
        <v>2700</v>
      </c>
      <c r="F553" s="11" t="s">
        <v>1316</v>
      </c>
      <c r="G553" s="698">
        <v>14220</v>
      </c>
      <c r="H553" s="12" t="s">
        <v>940</v>
      </c>
      <c r="I553" s="12" t="s">
        <v>913</v>
      </c>
      <c r="J553" s="12" t="s">
        <v>934</v>
      </c>
      <c r="K553" s="12" t="s">
        <v>899</v>
      </c>
      <c r="L553" s="12"/>
      <c r="M553" s="11"/>
      <c r="N553" s="11"/>
      <c r="O553" s="11"/>
      <c r="P553" s="11"/>
    </row>
    <row r="554" spans="1:16" x14ac:dyDescent="0.25">
      <c r="A554" s="695">
        <v>56510</v>
      </c>
      <c r="B554" s="558">
        <v>1229</v>
      </c>
      <c r="C554" s="693">
        <v>400</v>
      </c>
      <c r="D554" s="558">
        <v>2700</v>
      </c>
      <c r="F554" s="11" t="s">
        <v>1316</v>
      </c>
      <c r="G554" s="698">
        <v>3600</v>
      </c>
      <c r="H554" s="12" t="s">
        <v>940</v>
      </c>
      <c r="I554" s="12" t="s">
        <v>913</v>
      </c>
      <c r="J554" s="12" t="s">
        <v>934</v>
      </c>
      <c r="K554" s="12" t="s">
        <v>899</v>
      </c>
      <c r="L554" s="12"/>
      <c r="M554" s="11"/>
      <c r="N554" s="11"/>
      <c r="O554" s="11"/>
      <c r="P554" s="11"/>
    </row>
    <row r="555" spans="1:16" x14ac:dyDescent="0.25">
      <c r="A555" s="695">
        <v>56510</v>
      </c>
      <c r="B555" s="558">
        <v>1327</v>
      </c>
      <c r="C555" s="693">
        <v>400</v>
      </c>
      <c r="D555" s="558">
        <v>2700</v>
      </c>
      <c r="F555" s="11" t="s">
        <v>1316</v>
      </c>
      <c r="G555" s="698">
        <v>123.67</v>
      </c>
      <c r="H555" s="12" t="s">
        <v>968</v>
      </c>
      <c r="I555" s="12" t="s">
        <v>913</v>
      </c>
      <c r="J555" s="12" t="s">
        <v>934</v>
      </c>
      <c r="K555" s="12" t="s">
        <v>899</v>
      </c>
      <c r="L555" s="12"/>
      <c r="M555" s="11"/>
      <c r="N555" s="11"/>
      <c r="O555" s="11"/>
      <c r="P555" s="11"/>
    </row>
    <row r="556" spans="1:16" x14ac:dyDescent="0.25">
      <c r="A556" s="695">
        <v>56510</v>
      </c>
      <c r="B556" s="558">
        <v>1329</v>
      </c>
      <c r="C556" s="693">
        <v>400</v>
      </c>
      <c r="D556" s="558">
        <v>2700</v>
      </c>
      <c r="F556" s="11" t="s">
        <v>1316</v>
      </c>
      <c r="G556" s="698">
        <v>4629.63</v>
      </c>
      <c r="H556" s="12" t="s">
        <v>968</v>
      </c>
      <c r="I556" s="12" t="s">
        <v>913</v>
      </c>
      <c r="J556" s="12" t="s">
        <v>934</v>
      </c>
      <c r="K556" s="12" t="s">
        <v>899</v>
      </c>
      <c r="L556" s="12"/>
      <c r="M556" s="11"/>
      <c r="N556" s="11"/>
      <c r="O556" s="11"/>
      <c r="P556" s="11"/>
    </row>
    <row r="557" spans="1:16" x14ac:dyDescent="0.25">
      <c r="A557" s="694">
        <v>56510</v>
      </c>
      <c r="B557" s="558" t="s">
        <v>1245</v>
      </c>
      <c r="C557" s="693">
        <v>400</v>
      </c>
      <c r="D557" s="558">
        <v>2700</v>
      </c>
      <c r="F557" s="11" t="s">
        <v>1316</v>
      </c>
      <c r="G557" s="698">
        <v>19870</v>
      </c>
      <c r="H557" s="12" t="s">
        <v>904</v>
      </c>
      <c r="I557" s="12" t="s">
        <v>913</v>
      </c>
      <c r="J557" s="12" t="s">
        <v>934</v>
      </c>
      <c r="K557" s="12" t="s">
        <v>899</v>
      </c>
      <c r="L557" s="12"/>
      <c r="M557" s="11"/>
      <c r="N557" s="11"/>
      <c r="O557" s="11"/>
      <c r="P557" s="11"/>
    </row>
    <row r="558" spans="1:16" x14ac:dyDescent="0.25">
      <c r="A558" s="694">
        <v>56520</v>
      </c>
      <c r="B558" s="558">
        <v>1000</v>
      </c>
      <c r="C558" s="693">
        <v>100</v>
      </c>
      <c r="D558" s="558">
        <v>2600</v>
      </c>
      <c r="F558" s="11" t="s">
        <v>1317</v>
      </c>
      <c r="G558" s="698">
        <v>15408.36</v>
      </c>
      <c r="H558" s="12" t="s">
        <v>889</v>
      </c>
      <c r="I558" s="12" t="s">
        <v>893</v>
      </c>
      <c r="J558" s="12" t="s">
        <v>930</v>
      </c>
      <c r="K558" s="12" t="s">
        <v>899</v>
      </c>
      <c r="L558" s="12"/>
      <c r="M558" s="11"/>
      <c r="N558" s="11"/>
      <c r="O558" s="11"/>
      <c r="P558" s="11"/>
    </row>
    <row r="559" spans="1:16" x14ac:dyDescent="0.25">
      <c r="A559" s="695">
        <v>56531</v>
      </c>
      <c r="B559" s="558">
        <v>1000</v>
      </c>
      <c r="C559" s="693">
        <v>100</v>
      </c>
      <c r="D559" s="558">
        <v>2100</v>
      </c>
      <c r="F559" s="11" t="s">
        <v>1318</v>
      </c>
      <c r="G559" s="698">
        <v>439.94</v>
      </c>
      <c r="H559" s="12" t="s">
        <v>889</v>
      </c>
      <c r="I559" s="12" t="s">
        <v>893</v>
      </c>
      <c r="J559" s="12" t="s">
        <v>902</v>
      </c>
      <c r="K559" s="12" t="s">
        <v>899</v>
      </c>
      <c r="L559" s="12"/>
      <c r="M559" s="11"/>
      <c r="N559" s="11"/>
      <c r="O559" s="11"/>
      <c r="P559" s="11"/>
    </row>
    <row r="560" spans="1:16" x14ac:dyDescent="0.25">
      <c r="A560" s="695">
        <v>56531</v>
      </c>
      <c r="B560" s="558">
        <v>1000</v>
      </c>
      <c r="C560" s="693">
        <v>100</v>
      </c>
      <c r="D560" s="558">
        <v>2300</v>
      </c>
      <c r="F560" s="11" t="s">
        <v>1318</v>
      </c>
      <c r="G560" s="698">
        <v>36.97</v>
      </c>
      <c r="H560" s="12" t="s">
        <v>889</v>
      </c>
      <c r="I560" s="12" t="s">
        <v>893</v>
      </c>
      <c r="J560" s="12" t="s">
        <v>918</v>
      </c>
      <c r="K560" s="12" t="s">
        <v>899</v>
      </c>
      <c r="L560" s="12"/>
      <c r="M560" s="11"/>
      <c r="N560" s="11"/>
      <c r="O560" s="11"/>
      <c r="P560" s="11"/>
    </row>
    <row r="561" spans="1:16" x14ac:dyDescent="0.25">
      <c r="A561" s="695">
        <v>56531</v>
      </c>
      <c r="B561" s="558">
        <v>1000</v>
      </c>
      <c r="C561" s="693">
        <v>100</v>
      </c>
      <c r="D561" s="558">
        <v>2500</v>
      </c>
      <c r="F561" s="11" t="s">
        <v>1318</v>
      </c>
      <c r="G561" s="698">
        <v>10012.52</v>
      </c>
      <c r="H561" s="12" t="s">
        <v>889</v>
      </c>
      <c r="I561" s="12" t="s">
        <v>893</v>
      </c>
      <c r="J561" s="12" t="s">
        <v>926</v>
      </c>
      <c r="K561" s="12" t="s">
        <v>899</v>
      </c>
      <c r="L561" s="12"/>
      <c r="M561" s="11"/>
      <c r="N561" s="11"/>
      <c r="O561" s="11"/>
      <c r="P561" s="11"/>
    </row>
    <row r="562" spans="1:16" x14ac:dyDescent="0.25">
      <c r="A562" s="694">
        <v>56531</v>
      </c>
      <c r="B562" s="558">
        <v>1000</v>
      </c>
      <c r="C562" s="693">
        <v>100</v>
      </c>
      <c r="D562" s="558">
        <v>2600</v>
      </c>
      <c r="F562" s="11" t="s">
        <v>1318</v>
      </c>
      <c r="G562" s="698">
        <v>9296.02</v>
      </c>
      <c r="H562" s="12" t="s">
        <v>889</v>
      </c>
      <c r="I562" s="12" t="s">
        <v>893</v>
      </c>
      <c r="J562" s="12" t="s">
        <v>930</v>
      </c>
      <c r="K562" s="12" t="s">
        <v>899</v>
      </c>
      <c r="L562" s="12"/>
      <c r="M562" s="11"/>
      <c r="N562" s="11"/>
      <c r="O562" s="11"/>
      <c r="P562" s="11"/>
    </row>
    <row r="563" spans="1:16" x14ac:dyDescent="0.25">
      <c r="A563" s="695">
        <v>56533</v>
      </c>
      <c r="B563" s="558">
        <v>1000</v>
      </c>
      <c r="C563" s="693">
        <v>100</v>
      </c>
      <c r="D563" s="558">
        <v>1000</v>
      </c>
      <c r="F563" s="11" t="s">
        <v>1319</v>
      </c>
      <c r="G563" s="698">
        <v>659.11</v>
      </c>
      <c r="H563" s="12" t="s">
        <v>889</v>
      </c>
      <c r="I563" s="12" t="s">
        <v>893</v>
      </c>
      <c r="J563" s="12" t="s">
        <v>894</v>
      </c>
      <c r="K563" s="12" t="s">
        <v>899</v>
      </c>
      <c r="L563" s="12"/>
      <c r="M563" s="11"/>
      <c r="N563" s="11"/>
      <c r="O563" s="11"/>
      <c r="P563" s="11"/>
    </row>
    <row r="564" spans="1:16" x14ac:dyDescent="0.25">
      <c r="A564" s="695">
        <v>56533</v>
      </c>
      <c r="B564" s="558">
        <v>1000</v>
      </c>
      <c r="C564" s="693">
        <v>100</v>
      </c>
      <c r="D564" s="558">
        <v>2200</v>
      </c>
      <c r="F564" s="11" t="s">
        <v>1319</v>
      </c>
      <c r="G564" s="698">
        <v>29.14</v>
      </c>
      <c r="H564" s="12" t="s">
        <v>889</v>
      </c>
      <c r="I564" s="12" t="s">
        <v>893</v>
      </c>
      <c r="J564" s="12" t="s">
        <v>906</v>
      </c>
      <c r="K564" s="12" t="s">
        <v>899</v>
      </c>
      <c r="L564" s="12"/>
      <c r="M564" s="11"/>
      <c r="N564" s="11"/>
      <c r="O564" s="11"/>
      <c r="P564" s="11"/>
    </row>
    <row r="565" spans="1:16" x14ac:dyDescent="0.25">
      <c r="A565" s="695">
        <v>56533</v>
      </c>
      <c r="B565" s="558">
        <v>1000</v>
      </c>
      <c r="C565" s="693">
        <v>100</v>
      </c>
      <c r="D565" s="558">
        <v>2500</v>
      </c>
      <c r="F565" s="11" t="s">
        <v>1319</v>
      </c>
      <c r="G565" s="698">
        <v>1071.32</v>
      </c>
      <c r="H565" s="12" t="s">
        <v>889</v>
      </c>
      <c r="I565" s="12" t="s">
        <v>893</v>
      </c>
      <c r="J565" s="12" t="s">
        <v>926</v>
      </c>
      <c r="K565" s="12" t="s">
        <v>899</v>
      </c>
      <c r="L565" s="12"/>
      <c r="M565" s="11"/>
      <c r="N565" s="11"/>
      <c r="O565" s="11"/>
      <c r="P565" s="11"/>
    </row>
    <row r="566" spans="1:16" x14ac:dyDescent="0.25">
      <c r="A566" s="694">
        <v>56533</v>
      </c>
      <c r="B566" s="558">
        <v>1000</v>
      </c>
      <c r="C566" s="693">
        <v>100</v>
      </c>
      <c r="D566" s="558">
        <v>2600</v>
      </c>
      <c r="F566" s="11" t="s">
        <v>1319</v>
      </c>
      <c r="G566" s="698">
        <v>3.49</v>
      </c>
      <c r="H566" s="12" t="s">
        <v>889</v>
      </c>
      <c r="I566" s="12" t="s">
        <v>893</v>
      </c>
      <c r="J566" s="12" t="s">
        <v>930</v>
      </c>
      <c r="K566" s="12" t="s">
        <v>899</v>
      </c>
      <c r="L566" s="12"/>
      <c r="M566" s="11"/>
      <c r="N566" s="11"/>
      <c r="O566" s="11"/>
      <c r="P566" s="11"/>
    </row>
    <row r="567" spans="1:16" x14ac:dyDescent="0.25">
      <c r="A567" s="695">
        <v>56550</v>
      </c>
      <c r="B567" s="558">
        <v>1000</v>
      </c>
      <c r="C567" s="693">
        <v>100</v>
      </c>
      <c r="D567" s="558">
        <v>1000</v>
      </c>
      <c r="F567" s="11" t="s">
        <v>1320</v>
      </c>
      <c r="G567" s="698">
        <v>359.7</v>
      </c>
      <c r="H567" s="12" t="s">
        <v>889</v>
      </c>
      <c r="I567" s="12" t="s">
        <v>893</v>
      </c>
      <c r="J567" s="12" t="s">
        <v>894</v>
      </c>
      <c r="K567" s="12" t="s">
        <v>899</v>
      </c>
      <c r="L567" s="12"/>
      <c r="M567" s="11"/>
      <c r="N567" s="11"/>
      <c r="O567" s="11"/>
      <c r="P567" s="11"/>
    </row>
    <row r="568" spans="1:16" x14ac:dyDescent="0.25">
      <c r="A568" s="695">
        <v>56550</v>
      </c>
      <c r="B568" s="558">
        <v>1000</v>
      </c>
      <c r="C568" s="693">
        <v>100</v>
      </c>
      <c r="D568" s="558">
        <v>2400</v>
      </c>
      <c r="F568" s="11" t="s">
        <v>1320</v>
      </c>
      <c r="G568" s="698">
        <v>108.72</v>
      </c>
      <c r="H568" s="12" t="s">
        <v>889</v>
      </c>
      <c r="I568" s="12" t="s">
        <v>893</v>
      </c>
      <c r="J568" s="12" t="s">
        <v>922</v>
      </c>
      <c r="K568" s="12" t="s">
        <v>899</v>
      </c>
      <c r="L568" s="12"/>
      <c r="M568" s="11"/>
      <c r="N568" s="11"/>
      <c r="O568" s="11"/>
      <c r="P568" s="11"/>
    </row>
    <row r="569" spans="1:16" x14ac:dyDescent="0.25">
      <c r="A569" s="694">
        <v>56550</v>
      </c>
      <c r="B569" s="558">
        <v>1000</v>
      </c>
      <c r="C569" s="693">
        <v>100</v>
      </c>
      <c r="D569" s="558">
        <v>2500</v>
      </c>
      <c r="F569" s="11" t="s">
        <v>1320</v>
      </c>
      <c r="G569" s="698">
        <v>1130.8499999999999</v>
      </c>
      <c r="H569" s="12" t="s">
        <v>889</v>
      </c>
      <c r="I569" s="12" t="s">
        <v>893</v>
      </c>
      <c r="J569" s="12" t="s">
        <v>926</v>
      </c>
      <c r="K569" s="12" t="s">
        <v>899</v>
      </c>
      <c r="L569" s="12"/>
      <c r="M569" s="11"/>
      <c r="N569" s="11"/>
      <c r="O569" s="11"/>
      <c r="P569" s="11"/>
    </row>
    <row r="570" spans="1:16" x14ac:dyDescent="0.25">
      <c r="A570" s="695">
        <v>56560</v>
      </c>
      <c r="B570" s="558">
        <v>1000</v>
      </c>
      <c r="C570" s="693">
        <v>100</v>
      </c>
      <c r="D570" s="558">
        <v>2100</v>
      </c>
      <c r="F570" s="11" t="s">
        <v>1321</v>
      </c>
      <c r="G570" s="698">
        <v>1503</v>
      </c>
      <c r="H570" s="12" t="s">
        <v>889</v>
      </c>
      <c r="I570" s="12" t="s">
        <v>893</v>
      </c>
      <c r="J570" s="12" t="s">
        <v>902</v>
      </c>
      <c r="K570" s="12" t="s">
        <v>899</v>
      </c>
      <c r="L570" s="12"/>
      <c r="M570" s="11"/>
      <c r="N570" s="11"/>
      <c r="O570" s="11"/>
      <c r="P570" s="11"/>
    </row>
    <row r="571" spans="1:16" x14ac:dyDescent="0.25">
      <c r="A571" s="695">
        <v>56560</v>
      </c>
      <c r="B571" s="558">
        <v>1000</v>
      </c>
      <c r="C571" s="693">
        <v>200</v>
      </c>
      <c r="D571" s="558">
        <v>2100</v>
      </c>
      <c r="F571" s="11" t="s">
        <v>1321</v>
      </c>
      <c r="G571" s="698">
        <v>23872.5</v>
      </c>
      <c r="H571" s="12" t="s">
        <v>889</v>
      </c>
      <c r="I571" s="12" t="s">
        <v>897</v>
      </c>
      <c r="J571" s="12" t="s">
        <v>902</v>
      </c>
      <c r="K571" s="12" t="s">
        <v>899</v>
      </c>
      <c r="L571" s="12"/>
      <c r="M571" s="11"/>
      <c r="N571" s="11"/>
      <c r="O571" s="11"/>
      <c r="P571" s="11"/>
    </row>
    <row r="572" spans="1:16" x14ac:dyDescent="0.25">
      <c r="A572" s="695">
        <v>56560</v>
      </c>
      <c r="B572" s="558">
        <v>1229</v>
      </c>
      <c r="C572" s="693">
        <v>200</v>
      </c>
      <c r="D572" s="558">
        <v>2100</v>
      </c>
      <c r="F572" s="11" t="s">
        <v>1321</v>
      </c>
      <c r="G572" s="698">
        <v>17820</v>
      </c>
      <c r="H572" s="12" t="s">
        <v>940</v>
      </c>
      <c r="I572" s="12" t="s">
        <v>897</v>
      </c>
      <c r="J572" s="12" t="s">
        <v>902</v>
      </c>
      <c r="K572" s="12" t="s">
        <v>899</v>
      </c>
      <c r="L572" s="12"/>
      <c r="M572" s="11"/>
      <c r="N572" s="11"/>
      <c r="O572" s="11"/>
      <c r="P572" s="11"/>
    </row>
    <row r="573" spans="1:16" x14ac:dyDescent="0.25">
      <c r="A573" s="694">
        <v>56560</v>
      </c>
      <c r="B573" s="558">
        <v>1488</v>
      </c>
      <c r="C573" s="693">
        <v>200</v>
      </c>
      <c r="D573" s="558">
        <v>2100</v>
      </c>
      <c r="F573" s="11" t="s">
        <v>1321</v>
      </c>
      <c r="G573" s="698">
        <v>31312.5</v>
      </c>
      <c r="H573" s="12" t="s">
        <v>995</v>
      </c>
      <c r="I573" s="12" t="s">
        <v>897</v>
      </c>
      <c r="J573" s="12" t="s">
        <v>902</v>
      </c>
      <c r="K573" s="12" t="s">
        <v>899</v>
      </c>
      <c r="L573" s="12"/>
      <c r="M573" s="11"/>
      <c r="N573" s="11"/>
      <c r="O573" s="11"/>
      <c r="P573" s="11"/>
    </row>
    <row r="574" spans="1:16" x14ac:dyDescent="0.25">
      <c r="A574" s="695">
        <v>56580</v>
      </c>
      <c r="B574" s="558">
        <v>1000</v>
      </c>
      <c r="C574" s="693">
        <v>100</v>
      </c>
      <c r="D574" s="558">
        <v>1000</v>
      </c>
      <c r="F574" s="11" t="s">
        <v>1322</v>
      </c>
      <c r="G574" s="698">
        <v>-95.58</v>
      </c>
      <c r="H574" s="12" t="s">
        <v>889</v>
      </c>
      <c r="I574" s="12" t="s">
        <v>893</v>
      </c>
      <c r="J574" s="12" t="s">
        <v>894</v>
      </c>
      <c r="K574" s="12" t="s">
        <v>899</v>
      </c>
      <c r="L574" s="12"/>
      <c r="M574" s="11"/>
      <c r="N574" s="11"/>
      <c r="O574" s="11"/>
      <c r="P574" s="11"/>
    </row>
    <row r="575" spans="1:16" x14ac:dyDescent="0.25">
      <c r="A575" s="695">
        <v>56580</v>
      </c>
      <c r="B575" s="558">
        <v>1000</v>
      </c>
      <c r="C575" s="693">
        <v>100</v>
      </c>
      <c r="D575" s="558">
        <v>2100</v>
      </c>
      <c r="F575" s="11" t="s">
        <v>1322</v>
      </c>
      <c r="G575" s="698">
        <v>401.26</v>
      </c>
      <c r="H575" s="12" t="s">
        <v>889</v>
      </c>
      <c r="I575" s="12" t="s">
        <v>893</v>
      </c>
      <c r="J575" s="12" t="s">
        <v>902</v>
      </c>
      <c r="K575" s="12" t="s">
        <v>899</v>
      </c>
      <c r="L575" s="12"/>
      <c r="M575" s="11"/>
      <c r="N575" s="11"/>
      <c r="O575" s="11"/>
      <c r="P575" s="11"/>
    </row>
    <row r="576" spans="1:16" x14ac:dyDescent="0.25">
      <c r="A576" s="695">
        <v>56580</v>
      </c>
      <c r="B576" s="558">
        <v>1000</v>
      </c>
      <c r="C576" s="693">
        <v>100</v>
      </c>
      <c r="D576" s="558">
        <v>2200</v>
      </c>
      <c r="F576" s="11" t="s">
        <v>1322</v>
      </c>
      <c r="G576" s="698">
        <v>96.63</v>
      </c>
      <c r="H576" s="12" t="s">
        <v>889</v>
      </c>
      <c r="I576" s="12" t="s">
        <v>893</v>
      </c>
      <c r="J576" s="12" t="s">
        <v>906</v>
      </c>
      <c r="K576" s="12" t="s">
        <v>899</v>
      </c>
      <c r="L576" s="12"/>
      <c r="M576" s="11"/>
      <c r="N576" s="11"/>
      <c r="O576" s="11"/>
      <c r="P576" s="11"/>
    </row>
    <row r="577" spans="1:16" x14ac:dyDescent="0.25">
      <c r="A577" s="695">
        <v>56580</v>
      </c>
      <c r="B577" s="558">
        <v>1000</v>
      </c>
      <c r="C577" s="693">
        <v>100</v>
      </c>
      <c r="D577" s="558">
        <v>2300</v>
      </c>
      <c r="F577" s="11" t="s">
        <v>1322</v>
      </c>
      <c r="G577" s="698">
        <v>3389.86</v>
      </c>
      <c r="H577" s="12" t="s">
        <v>889</v>
      </c>
      <c r="I577" s="12" t="s">
        <v>893</v>
      </c>
      <c r="J577" s="12" t="s">
        <v>918</v>
      </c>
      <c r="K577" s="12" t="s">
        <v>899</v>
      </c>
      <c r="L577" s="12"/>
      <c r="M577" s="11"/>
      <c r="N577" s="11"/>
      <c r="O577" s="11"/>
      <c r="P577" s="11"/>
    </row>
    <row r="578" spans="1:16" x14ac:dyDescent="0.25">
      <c r="A578" s="695">
        <v>56580</v>
      </c>
      <c r="B578" s="558">
        <v>1000</v>
      </c>
      <c r="C578" s="693">
        <v>100</v>
      </c>
      <c r="D578" s="558">
        <v>2400</v>
      </c>
      <c r="F578" s="11" t="s">
        <v>1322</v>
      </c>
      <c r="G578" s="698">
        <v>99.3</v>
      </c>
      <c r="H578" s="12" t="s">
        <v>889</v>
      </c>
      <c r="I578" s="12" t="s">
        <v>893</v>
      </c>
      <c r="J578" s="12" t="s">
        <v>922</v>
      </c>
      <c r="K578" s="12" t="s">
        <v>899</v>
      </c>
      <c r="L578" s="12"/>
      <c r="M578" s="11"/>
      <c r="N578" s="11"/>
      <c r="O578" s="11"/>
      <c r="P578" s="11"/>
    </row>
    <row r="579" spans="1:16" x14ac:dyDescent="0.25">
      <c r="A579" s="695">
        <v>56580</v>
      </c>
      <c r="B579" s="558">
        <v>1000</v>
      </c>
      <c r="C579" s="693">
        <v>100</v>
      </c>
      <c r="D579" s="558">
        <v>2500</v>
      </c>
      <c r="F579" s="11" t="s">
        <v>1322</v>
      </c>
      <c r="G579" s="698">
        <v>6239.81</v>
      </c>
      <c r="H579" s="12" t="s">
        <v>889</v>
      </c>
      <c r="I579" s="12" t="s">
        <v>893</v>
      </c>
      <c r="J579" s="12" t="s">
        <v>926</v>
      </c>
      <c r="K579" s="12" t="s">
        <v>899</v>
      </c>
      <c r="L579" s="12"/>
      <c r="M579" s="11"/>
      <c r="N579" s="11"/>
      <c r="O579" s="11"/>
      <c r="P579" s="11"/>
    </row>
    <row r="580" spans="1:16" x14ac:dyDescent="0.25">
      <c r="A580" s="695">
        <v>56580</v>
      </c>
      <c r="B580" s="558">
        <v>1000</v>
      </c>
      <c r="C580" s="693">
        <v>100</v>
      </c>
      <c r="D580" s="558">
        <v>2510</v>
      </c>
      <c r="F580" s="11" t="s">
        <v>1322</v>
      </c>
      <c r="G580" s="698">
        <v>875.52</v>
      </c>
      <c r="H580" s="12" t="s">
        <v>889</v>
      </c>
      <c r="I580" s="12" t="s">
        <v>893</v>
      </c>
      <c r="J580" s="12" t="s">
        <v>926</v>
      </c>
      <c r="K580" s="12" t="s">
        <v>899</v>
      </c>
      <c r="L580" s="12"/>
      <c r="M580" s="11"/>
      <c r="N580" s="11"/>
      <c r="O580" s="11"/>
      <c r="P580" s="11"/>
    </row>
    <row r="581" spans="1:16" x14ac:dyDescent="0.25">
      <c r="A581" s="695">
        <v>56580</v>
      </c>
      <c r="B581" s="558">
        <v>1000</v>
      </c>
      <c r="C581" s="693">
        <v>100</v>
      </c>
      <c r="D581" s="558">
        <v>3100</v>
      </c>
      <c r="F581" s="11" t="s">
        <v>1322</v>
      </c>
      <c r="G581" s="698">
        <v>29.82</v>
      </c>
      <c r="H581" s="12" t="s">
        <v>889</v>
      </c>
      <c r="I581" s="12" t="s">
        <v>893</v>
      </c>
      <c r="J581" s="12" t="s">
        <v>942</v>
      </c>
      <c r="K581" s="12" t="s">
        <v>899</v>
      </c>
      <c r="L581" s="12"/>
      <c r="M581" s="11"/>
      <c r="N581" s="11"/>
      <c r="O581" s="11"/>
      <c r="P581" s="11"/>
    </row>
    <row r="582" spans="1:16" x14ac:dyDescent="0.25">
      <c r="A582" s="695">
        <v>56580</v>
      </c>
      <c r="B582" s="558">
        <v>1000</v>
      </c>
      <c r="C582" s="693">
        <v>200</v>
      </c>
      <c r="D582" s="558">
        <v>2100</v>
      </c>
      <c r="F582" s="11" t="s">
        <v>1322</v>
      </c>
      <c r="G582" s="698">
        <v>15.6</v>
      </c>
      <c r="H582" s="12" t="s">
        <v>889</v>
      </c>
      <c r="I582" s="12" t="s">
        <v>897</v>
      </c>
      <c r="J582" s="12" t="s">
        <v>902</v>
      </c>
      <c r="K582" s="12" t="s">
        <v>899</v>
      </c>
      <c r="L582" s="12"/>
      <c r="M582" s="11"/>
      <c r="N582" s="11"/>
      <c r="O582" s="11"/>
      <c r="P582" s="11"/>
    </row>
    <row r="583" spans="1:16" x14ac:dyDescent="0.25">
      <c r="A583" s="695">
        <v>56580</v>
      </c>
      <c r="B583" s="558">
        <v>1000</v>
      </c>
      <c r="C583" s="693">
        <v>200</v>
      </c>
      <c r="D583" s="558">
        <v>2300</v>
      </c>
      <c r="F583" s="11" t="s">
        <v>1322</v>
      </c>
      <c r="G583" s="698">
        <v>124.17</v>
      </c>
      <c r="H583" s="12" t="s">
        <v>889</v>
      </c>
      <c r="I583" s="12" t="s">
        <v>897</v>
      </c>
      <c r="J583" s="12" t="s">
        <v>918</v>
      </c>
      <c r="K583" s="12" t="s">
        <v>899</v>
      </c>
      <c r="L583" s="12"/>
      <c r="M583" s="11"/>
      <c r="N583" s="11"/>
      <c r="O583" s="11"/>
      <c r="P583" s="11"/>
    </row>
    <row r="584" spans="1:16" x14ac:dyDescent="0.25">
      <c r="A584" s="695">
        <v>56580</v>
      </c>
      <c r="B584" s="558">
        <v>1000</v>
      </c>
      <c r="C584" s="693">
        <v>400</v>
      </c>
      <c r="D584" s="558">
        <v>2700</v>
      </c>
      <c r="F584" s="11" t="s">
        <v>1322</v>
      </c>
      <c r="G584" s="698">
        <v>8.48</v>
      </c>
      <c r="H584" s="12" t="s">
        <v>889</v>
      </c>
      <c r="I584" s="12" t="s">
        <v>913</v>
      </c>
      <c r="J584" s="12" t="s">
        <v>934</v>
      </c>
      <c r="K584" s="12" t="s">
        <v>899</v>
      </c>
      <c r="L584" s="12"/>
      <c r="M584" s="11"/>
      <c r="N584" s="11"/>
      <c r="O584" s="11"/>
      <c r="P584" s="11"/>
    </row>
    <row r="585" spans="1:16" x14ac:dyDescent="0.25">
      <c r="A585" s="694">
        <v>56580</v>
      </c>
      <c r="B585" s="558" t="s">
        <v>1245</v>
      </c>
      <c r="C585" s="693">
        <v>100</v>
      </c>
      <c r="D585" s="558">
        <v>2500</v>
      </c>
      <c r="F585" s="11" t="s">
        <v>1322</v>
      </c>
      <c r="G585" s="698">
        <v>31</v>
      </c>
      <c r="H585" s="12" t="s">
        <v>904</v>
      </c>
      <c r="I585" s="12" t="s">
        <v>893</v>
      </c>
      <c r="J585" s="12" t="s">
        <v>926</v>
      </c>
      <c r="K585" s="12" t="s">
        <v>899</v>
      </c>
      <c r="L585" s="12"/>
      <c r="M585" s="11"/>
      <c r="N585" s="11"/>
      <c r="O585" s="11"/>
      <c r="P585" s="11"/>
    </row>
    <row r="586" spans="1:16" x14ac:dyDescent="0.25">
      <c r="A586" s="695">
        <v>56581</v>
      </c>
      <c r="B586" s="558">
        <v>1000</v>
      </c>
      <c r="C586" s="693">
        <v>100</v>
      </c>
      <c r="D586" s="558">
        <v>1000</v>
      </c>
      <c r="F586" s="11" t="s">
        <v>1323</v>
      </c>
      <c r="G586" s="698">
        <v>560.91999999999996</v>
      </c>
      <c r="H586" s="12" t="s">
        <v>889</v>
      </c>
      <c r="I586" s="12" t="s">
        <v>893</v>
      </c>
      <c r="J586" s="12" t="s">
        <v>894</v>
      </c>
      <c r="K586" s="12" t="s">
        <v>899</v>
      </c>
      <c r="L586" s="12"/>
      <c r="M586" s="11"/>
      <c r="N586" s="11"/>
      <c r="O586" s="11"/>
      <c r="P586" s="11"/>
    </row>
    <row r="587" spans="1:16" x14ac:dyDescent="0.25">
      <c r="A587" s="695">
        <v>56581</v>
      </c>
      <c r="B587" s="558">
        <v>1000</v>
      </c>
      <c r="C587" s="693">
        <v>100</v>
      </c>
      <c r="D587" s="558">
        <v>2100</v>
      </c>
      <c r="F587" s="11" t="s">
        <v>1323</v>
      </c>
      <c r="G587" s="698">
        <v>20.65</v>
      </c>
      <c r="H587" s="12" t="s">
        <v>889</v>
      </c>
      <c r="I587" s="12" t="s">
        <v>893</v>
      </c>
      <c r="J587" s="12" t="s">
        <v>902</v>
      </c>
      <c r="K587" s="12" t="s">
        <v>899</v>
      </c>
      <c r="L587" s="12"/>
      <c r="M587" s="11"/>
      <c r="N587" s="11"/>
      <c r="O587" s="11"/>
      <c r="P587" s="11"/>
    </row>
    <row r="588" spans="1:16" x14ac:dyDescent="0.25">
      <c r="A588" s="695">
        <v>56581</v>
      </c>
      <c r="B588" s="558">
        <v>1000</v>
      </c>
      <c r="C588" s="693">
        <v>100</v>
      </c>
      <c r="D588" s="558">
        <v>2200</v>
      </c>
      <c r="F588" s="11" t="s">
        <v>1323</v>
      </c>
      <c r="G588" s="698">
        <v>56.94</v>
      </c>
      <c r="H588" s="12" t="s">
        <v>889</v>
      </c>
      <c r="I588" s="12" t="s">
        <v>893</v>
      </c>
      <c r="J588" s="12" t="s">
        <v>906</v>
      </c>
      <c r="K588" s="12" t="s">
        <v>899</v>
      </c>
      <c r="L588" s="12"/>
      <c r="M588" s="11"/>
      <c r="N588" s="11"/>
      <c r="O588" s="11"/>
      <c r="P588" s="11"/>
    </row>
    <row r="589" spans="1:16" x14ac:dyDescent="0.25">
      <c r="A589" s="695">
        <v>56581</v>
      </c>
      <c r="B589" s="558">
        <v>1000</v>
      </c>
      <c r="C589" s="693">
        <v>100</v>
      </c>
      <c r="D589" s="558">
        <v>2300</v>
      </c>
      <c r="F589" s="11" t="s">
        <v>1323</v>
      </c>
      <c r="G589" s="698">
        <v>37.549999999999997</v>
      </c>
      <c r="H589" s="12" t="s">
        <v>889</v>
      </c>
      <c r="I589" s="12" t="s">
        <v>893</v>
      </c>
      <c r="J589" s="12" t="s">
        <v>918</v>
      </c>
      <c r="K589" s="12" t="s">
        <v>899</v>
      </c>
      <c r="L589" s="12"/>
      <c r="M589" s="11"/>
      <c r="N589" s="11"/>
      <c r="O589" s="11"/>
      <c r="P589" s="11"/>
    </row>
    <row r="590" spans="1:16" x14ac:dyDescent="0.25">
      <c r="A590" s="695">
        <v>56581</v>
      </c>
      <c r="B590" s="558">
        <v>1000</v>
      </c>
      <c r="C590" s="693">
        <v>100</v>
      </c>
      <c r="D590" s="558">
        <v>2400</v>
      </c>
      <c r="F590" s="11" t="s">
        <v>1323</v>
      </c>
      <c r="G590" s="698">
        <v>15.8</v>
      </c>
      <c r="H590" s="12" t="s">
        <v>889</v>
      </c>
      <c r="I590" s="12" t="s">
        <v>893</v>
      </c>
      <c r="J590" s="12" t="s">
        <v>922</v>
      </c>
      <c r="K590" s="12" t="s">
        <v>899</v>
      </c>
      <c r="L590" s="12"/>
      <c r="M590" s="11"/>
      <c r="N590" s="11"/>
      <c r="O590" s="11"/>
      <c r="P590" s="11"/>
    </row>
    <row r="591" spans="1:16" x14ac:dyDescent="0.25">
      <c r="A591" s="695">
        <v>56581</v>
      </c>
      <c r="B591" s="558">
        <v>1000</v>
      </c>
      <c r="C591" s="693">
        <v>100</v>
      </c>
      <c r="D591" s="558">
        <v>2500</v>
      </c>
      <c r="F591" s="11" t="s">
        <v>1323</v>
      </c>
      <c r="G591" s="698">
        <v>778.98</v>
      </c>
      <c r="H591" s="12" t="s">
        <v>889</v>
      </c>
      <c r="I591" s="12" t="s">
        <v>893</v>
      </c>
      <c r="J591" s="12" t="s">
        <v>926</v>
      </c>
      <c r="K591" s="12" t="s">
        <v>899</v>
      </c>
      <c r="L591" s="12"/>
      <c r="M591" s="11"/>
      <c r="N591" s="11"/>
      <c r="O591" s="11"/>
      <c r="P591" s="11"/>
    </row>
    <row r="592" spans="1:16" x14ac:dyDescent="0.25">
      <c r="A592" s="695">
        <v>56581</v>
      </c>
      <c r="B592" s="558">
        <v>1000</v>
      </c>
      <c r="C592" s="693">
        <v>100</v>
      </c>
      <c r="D592" s="558">
        <v>2510</v>
      </c>
      <c r="F592" s="11" t="s">
        <v>1323</v>
      </c>
      <c r="G592" s="698">
        <v>85.55</v>
      </c>
      <c r="H592" s="12" t="s">
        <v>889</v>
      </c>
      <c r="I592" s="12" t="s">
        <v>893</v>
      </c>
      <c r="J592" s="12" t="s">
        <v>926</v>
      </c>
      <c r="K592" s="12" t="s">
        <v>899</v>
      </c>
      <c r="L592" s="12"/>
      <c r="M592" s="11"/>
      <c r="N592" s="11"/>
      <c r="O592" s="11"/>
      <c r="P592" s="11"/>
    </row>
    <row r="593" spans="1:16" x14ac:dyDescent="0.25">
      <c r="A593" s="695">
        <v>56581</v>
      </c>
      <c r="B593" s="558">
        <v>1000</v>
      </c>
      <c r="C593" s="693">
        <v>100</v>
      </c>
      <c r="D593" s="558">
        <v>3100</v>
      </c>
      <c r="F593" s="11" t="s">
        <v>1323</v>
      </c>
      <c r="G593" s="698">
        <v>0.39</v>
      </c>
      <c r="H593" s="12" t="s">
        <v>889</v>
      </c>
      <c r="I593" s="12" t="s">
        <v>893</v>
      </c>
      <c r="J593" s="12" t="s">
        <v>942</v>
      </c>
      <c r="K593" s="12" t="s">
        <v>899</v>
      </c>
      <c r="L593" s="12"/>
      <c r="M593" s="11"/>
      <c r="N593" s="11"/>
      <c r="O593" s="11"/>
      <c r="P593" s="11"/>
    </row>
    <row r="594" spans="1:16" x14ac:dyDescent="0.25">
      <c r="A594" s="695">
        <v>56581</v>
      </c>
      <c r="B594" s="558">
        <v>1000</v>
      </c>
      <c r="C594" s="693">
        <v>200</v>
      </c>
      <c r="D594" s="558">
        <v>2100</v>
      </c>
      <c r="F594" s="11" t="s">
        <v>1323</v>
      </c>
      <c r="G594" s="698">
        <v>77.12</v>
      </c>
      <c r="H594" s="12" t="s">
        <v>889</v>
      </c>
      <c r="I594" s="12" t="s">
        <v>897</v>
      </c>
      <c r="J594" s="12" t="s">
        <v>902</v>
      </c>
      <c r="K594" s="12" t="s">
        <v>899</v>
      </c>
      <c r="L594" s="12"/>
      <c r="M594" s="11"/>
      <c r="N594" s="11"/>
      <c r="O594" s="11"/>
      <c r="P594" s="11"/>
    </row>
    <row r="595" spans="1:16" x14ac:dyDescent="0.25">
      <c r="A595" s="695">
        <v>56581</v>
      </c>
      <c r="B595" s="558">
        <v>1000</v>
      </c>
      <c r="C595" s="693">
        <v>200</v>
      </c>
      <c r="D595" s="558">
        <v>2300</v>
      </c>
      <c r="F595" s="11" t="s">
        <v>1323</v>
      </c>
      <c r="G595" s="698">
        <v>13.52</v>
      </c>
      <c r="H595" s="12" t="s">
        <v>889</v>
      </c>
      <c r="I595" s="12" t="s">
        <v>897</v>
      </c>
      <c r="J595" s="12" t="s">
        <v>918</v>
      </c>
      <c r="K595" s="12" t="s">
        <v>899</v>
      </c>
      <c r="L595" s="12"/>
      <c r="M595" s="11"/>
      <c r="N595" s="11"/>
      <c r="O595" s="11"/>
      <c r="P595" s="11"/>
    </row>
    <row r="596" spans="1:16" x14ac:dyDescent="0.25">
      <c r="A596" s="695">
        <v>56581</v>
      </c>
      <c r="B596" s="558">
        <v>1000</v>
      </c>
      <c r="C596" s="693">
        <v>400</v>
      </c>
      <c r="D596" s="558">
        <v>2700</v>
      </c>
      <c r="F596" s="11" t="s">
        <v>1323</v>
      </c>
      <c r="G596" s="698">
        <v>4.24</v>
      </c>
      <c r="H596" s="12" t="s">
        <v>889</v>
      </c>
      <c r="I596" s="12" t="s">
        <v>913</v>
      </c>
      <c r="J596" s="12" t="s">
        <v>934</v>
      </c>
      <c r="K596" s="12" t="s">
        <v>899</v>
      </c>
      <c r="L596" s="12"/>
      <c r="M596" s="11"/>
      <c r="N596" s="11"/>
      <c r="O596" s="11"/>
      <c r="P596" s="11"/>
    </row>
    <row r="597" spans="1:16" x14ac:dyDescent="0.25">
      <c r="A597" s="694">
        <v>56581</v>
      </c>
      <c r="B597" s="558" t="s">
        <v>1245</v>
      </c>
      <c r="C597" s="693">
        <v>100</v>
      </c>
      <c r="D597" s="558">
        <v>2500</v>
      </c>
      <c r="F597" s="11" t="s">
        <v>1323</v>
      </c>
      <c r="G597" s="698">
        <v>40.83</v>
      </c>
      <c r="H597" s="12" t="s">
        <v>904</v>
      </c>
      <c r="I597" s="12" t="s">
        <v>893</v>
      </c>
      <c r="J597" s="12" t="s">
        <v>926</v>
      </c>
      <c r="K597" s="12" t="s">
        <v>899</v>
      </c>
      <c r="L597" s="12"/>
      <c r="M597" s="11"/>
      <c r="N597" s="11"/>
      <c r="O597" s="11"/>
      <c r="P597" s="11"/>
    </row>
    <row r="598" spans="1:16" x14ac:dyDescent="0.25">
      <c r="A598" s="694">
        <v>56585</v>
      </c>
      <c r="B598" s="558">
        <v>1710</v>
      </c>
      <c r="C598" s="693">
        <v>400</v>
      </c>
      <c r="D598" s="558">
        <v>2700</v>
      </c>
      <c r="F598" s="11" t="s">
        <v>1324</v>
      </c>
      <c r="G598" s="698">
        <v>1590</v>
      </c>
      <c r="H598" s="12" t="s">
        <v>997</v>
      </c>
      <c r="I598" s="12" t="s">
        <v>913</v>
      </c>
      <c r="J598" s="12" t="s">
        <v>934</v>
      </c>
      <c r="K598" s="12" t="s">
        <v>899</v>
      </c>
      <c r="L598" s="12"/>
      <c r="M598" s="11"/>
      <c r="N598" s="11"/>
      <c r="O598" s="11"/>
      <c r="P598" s="11"/>
    </row>
    <row r="599" spans="1:16" x14ac:dyDescent="0.25">
      <c r="A599" s="695">
        <v>56610</v>
      </c>
      <c r="B599" s="558">
        <v>1000</v>
      </c>
      <c r="C599" s="693">
        <v>100</v>
      </c>
      <c r="D599" s="558">
        <v>1000</v>
      </c>
      <c r="F599" s="11" t="s">
        <v>1325</v>
      </c>
      <c r="G599" s="698">
        <v>6880</v>
      </c>
      <c r="H599" s="12" t="s">
        <v>889</v>
      </c>
      <c r="I599" s="12" t="s">
        <v>893</v>
      </c>
      <c r="J599" s="12" t="s">
        <v>894</v>
      </c>
      <c r="K599" s="12" t="s">
        <v>903</v>
      </c>
      <c r="L599" s="12"/>
      <c r="M599" s="11"/>
      <c r="N599" s="11"/>
      <c r="O599" s="11"/>
      <c r="P599" s="11"/>
    </row>
    <row r="600" spans="1:16" x14ac:dyDescent="0.25">
      <c r="A600" s="695">
        <v>56610</v>
      </c>
      <c r="B600" s="558">
        <v>1000</v>
      </c>
      <c r="C600" s="693">
        <v>100</v>
      </c>
      <c r="D600" s="558">
        <v>2100</v>
      </c>
      <c r="F600" s="11" t="s">
        <v>1325</v>
      </c>
      <c r="G600" s="698">
        <v>475.91</v>
      </c>
      <c r="H600" s="12" t="s">
        <v>889</v>
      </c>
      <c r="I600" s="12" t="s">
        <v>893</v>
      </c>
      <c r="J600" s="12" t="s">
        <v>902</v>
      </c>
      <c r="K600" s="12" t="s">
        <v>903</v>
      </c>
      <c r="L600" s="12"/>
      <c r="M600" s="11"/>
      <c r="N600" s="11"/>
      <c r="O600" s="11"/>
      <c r="P600" s="11"/>
    </row>
    <row r="601" spans="1:16" x14ac:dyDescent="0.25">
      <c r="A601" s="695">
        <v>56610</v>
      </c>
      <c r="B601" s="558">
        <v>1000</v>
      </c>
      <c r="C601" s="693">
        <v>100</v>
      </c>
      <c r="D601" s="558">
        <v>2200</v>
      </c>
      <c r="F601" s="11" t="s">
        <v>1325</v>
      </c>
      <c r="G601" s="698">
        <v>1889.81</v>
      </c>
      <c r="H601" s="12" t="s">
        <v>889</v>
      </c>
      <c r="I601" s="12" t="s">
        <v>893</v>
      </c>
      <c r="J601" s="12" t="s">
        <v>906</v>
      </c>
      <c r="K601" s="12" t="s">
        <v>903</v>
      </c>
      <c r="L601" s="12"/>
      <c r="M601" s="11"/>
      <c r="N601" s="11"/>
      <c r="O601" s="11"/>
      <c r="P601" s="11"/>
    </row>
    <row r="602" spans="1:16" x14ac:dyDescent="0.25">
      <c r="A602" s="695">
        <v>56610</v>
      </c>
      <c r="B602" s="558">
        <v>1000</v>
      </c>
      <c r="C602" s="693">
        <v>100</v>
      </c>
      <c r="D602" s="558">
        <v>2220</v>
      </c>
      <c r="F602" s="11" t="s">
        <v>1325</v>
      </c>
      <c r="G602" s="698">
        <v>0.91</v>
      </c>
      <c r="H602" s="12" t="s">
        <v>889</v>
      </c>
      <c r="I602" s="12" t="s">
        <v>893</v>
      </c>
      <c r="J602" s="12" t="s">
        <v>910</v>
      </c>
      <c r="K602" s="12" t="s">
        <v>903</v>
      </c>
      <c r="L602" s="12"/>
      <c r="M602" s="11"/>
      <c r="N602" s="11"/>
      <c r="O602" s="11"/>
      <c r="P602" s="11"/>
    </row>
    <row r="603" spans="1:16" x14ac:dyDescent="0.25">
      <c r="A603" s="695">
        <v>56610</v>
      </c>
      <c r="B603" s="558">
        <v>1000</v>
      </c>
      <c r="C603" s="693">
        <v>100</v>
      </c>
      <c r="D603" s="558">
        <v>2300</v>
      </c>
      <c r="F603" s="11" t="s">
        <v>1325</v>
      </c>
      <c r="G603" s="698">
        <v>592.53</v>
      </c>
      <c r="H603" s="12" t="s">
        <v>889</v>
      </c>
      <c r="I603" s="12" t="s">
        <v>893</v>
      </c>
      <c r="J603" s="12" t="s">
        <v>918</v>
      </c>
      <c r="K603" s="12" t="s">
        <v>903</v>
      </c>
      <c r="L603" s="12"/>
      <c r="M603" s="11"/>
      <c r="N603" s="11"/>
      <c r="O603" s="11"/>
      <c r="P603" s="11"/>
    </row>
    <row r="604" spans="1:16" x14ac:dyDescent="0.25">
      <c r="A604" s="695">
        <v>56610</v>
      </c>
      <c r="B604" s="558">
        <v>1000</v>
      </c>
      <c r="C604" s="693">
        <v>100</v>
      </c>
      <c r="D604" s="558">
        <v>2310</v>
      </c>
      <c r="F604" s="11" t="s">
        <v>1325</v>
      </c>
      <c r="G604" s="698">
        <v>32.909999999999997</v>
      </c>
      <c r="H604" s="12" t="s">
        <v>889</v>
      </c>
      <c r="I604" s="12" t="s">
        <v>893</v>
      </c>
      <c r="J604" s="12" t="s">
        <v>918</v>
      </c>
      <c r="K604" s="12" t="s">
        <v>903</v>
      </c>
      <c r="L604" s="12"/>
      <c r="M604" s="11"/>
      <c r="N604" s="11"/>
      <c r="O604" s="11"/>
      <c r="P604" s="11"/>
    </row>
    <row r="605" spans="1:16" x14ac:dyDescent="0.25">
      <c r="A605" s="695">
        <v>56610</v>
      </c>
      <c r="B605" s="558">
        <v>1000</v>
      </c>
      <c r="C605" s="693">
        <v>100</v>
      </c>
      <c r="D605" s="558">
        <v>2400</v>
      </c>
      <c r="F605" s="11" t="s">
        <v>1325</v>
      </c>
      <c r="G605" s="698">
        <v>5499.2</v>
      </c>
      <c r="H605" s="12" t="s">
        <v>889</v>
      </c>
      <c r="I605" s="12" t="s">
        <v>893</v>
      </c>
      <c r="J605" s="12" t="s">
        <v>922</v>
      </c>
      <c r="K605" s="12" t="s">
        <v>903</v>
      </c>
      <c r="L605" s="12"/>
      <c r="M605" s="11"/>
      <c r="N605" s="11"/>
      <c r="O605" s="11"/>
      <c r="P605" s="11"/>
    </row>
    <row r="606" spans="1:16" x14ac:dyDescent="0.25">
      <c r="A606" s="695">
        <v>56610</v>
      </c>
      <c r="B606" s="558">
        <v>1000</v>
      </c>
      <c r="C606" s="693">
        <v>100</v>
      </c>
      <c r="D606" s="558">
        <v>2500</v>
      </c>
      <c r="F606" s="11" t="s">
        <v>1325</v>
      </c>
      <c r="G606" s="698">
        <v>5234.8500000000004</v>
      </c>
      <c r="H606" s="12" t="s">
        <v>889</v>
      </c>
      <c r="I606" s="12" t="s">
        <v>893</v>
      </c>
      <c r="J606" s="12" t="s">
        <v>926</v>
      </c>
      <c r="K606" s="12" t="s">
        <v>903</v>
      </c>
      <c r="L606" s="12"/>
      <c r="M606" s="11"/>
      <c r="N606" s="11"/>
      <c r="O606" s="11"/>
      <c r="P606" s="11"/>
    </row>
    <row r="607" spans="1:16" x14ac:dyDescent="0.25">
      <c r="A607" s="695">
        <v>56610</v>
      </c>
      <c r="B607" s="558">
        <v>1000</v>
      </c>
      <c r="C607" s="693">
        <v>100</v>
      </c>
      <c r="D607" s="558">
        <v>2510</v>
      </c>
      <c r="F607" s="11" t="s">
        <v>1325</v>
      </c>
      <c r="G607" s="698">
        <v>81</v>
      </c>
      <c r="H607" s="12" t="s">
        <v>889</v>
      </c>
      <c r="I607" s="12" t="s">
        <v>893</v>
      </c>
      <c r="J607" s="12" t="s">
        <v>926</v>
      </c>
      <c r="K607" s="12" t="s">
        <v>903</v>
      </c>
      <c r="L607" s="12"/>
      <c r="M607" s="11"/>
      <c r="N607" s="11"/>
      <c r="O607" s="11"/>
      <c r="P607" s="11"/>
    </row>
    <row r="608" spans="1:16" x14ac:dyDescent="0.25">
      <c r="A608" s="695">
        <v>56610</v>
      </c>
      <c r="B608" s="558">
        <v>1000</v>
      </c>
      <c r="C608" s="693">
        <v>100</v>
      </c>
      <c r="D608" s="558">
        <v>2600</v>
      </c>
      <c r="F608" s="11" t="s">
        <v>1325</v>
      </c>
      <c r="G608" s="698">
        <v>29075.84</v>
      </c>
      <c r="H608" s="12" t="s">
        <v>889</v>
      </c>
      <c r="I608" s="12" t="s">
        <v>893</v>
      </c>
      <c r="J608" s="12" t="s">
        <v>930</v>
      </c>
      <c r="K608" s="12" t="s">
        <v>903</v>
      </c>
      <c r="L608" s="12"/>
      <c r="M608" s="11"/>
      <c r="N608" s="11"/>
      <c r="O608" s="11"/>
      <c r="P608" s="11"/>
    </row>
    <row r="609" spans="1:16" x14ac:dyDescent="0.25">
      <c r="A609" s="695">
        <v>56610</v>
      </c>
      <c r="B609" s="558">
        <v>1000</v>
      </c>
      <c r="C609" s="693">
        <v>100</v>
      </c>
      <c r="D609" s="558">
        <v>3100</v>
      </c>
      <c r="F609" s="11" t="s">
        <v>1325</v>
      </c>
      <c r="G609" s="698">
        <v>229.84</v>
      </c>
      <c r="H609" s="12" t="s">
        <v>889</v>
      </c>
      <c r="I609" s="12" t="s">
        <v>893</v>
      </c>
      <c r="J609" s="12" t="s">
        <v>942</v>
      </c>
      <c r="K609" s="12" t="s">
        <v>903</v>
      </c>
      <c r="L609" s="12"/>
      <c r="M609" s="11"/>
      <c r="N609" s="11"/>
      <c r="O609" s="11"/>
      <c r="P609" s="11"/>
    </row>
    <row r="610" spans="1:16" x14ac:dyDescent="0.25">
      <c r="A610" s="695">
        <v>56610</v>
      </c>
      <c r="B610" s="558">
        <v>1000</v>
      </c>
      <c r="C610" s="693">
        <v>200</v>
      </c>
      <c r="D610" s="558">
        <v>1000</v>
      </c>
      <c r="F610" s="11" t="s">
        <v>1325</v>
      </c>
      <c r="G610" s="698">
        <v>266.02</v>
      </c>
      <c r="H610" s="12" t="s">
        <v>889</v>
      </c>
      <c r="I610" s="12" t="s">
        <v>897</v>
      </c>
      <c r="J610" s="12" t="s">
        <v>894</v>
      </c>
      <c r="K610" s="12" t="s">
        <v>903</v>
      </c>
      <c r="L610" s="12"/>
      <c r="M610" s="11"/>
      <c r="N610" s="11"/>
      <c r="O610" s="11"/>
      <c r="P610" s="11"/>
    </row>
    <row r="611" spans="1:16" x14ac:dyDescent="0.25">
      <c r="A611" s="695">
        <v>56610</v>
      </c>
      <c r="B611" s="558">
        <v>1000</v>
      </c>
      <c r="C611" s="693">
        <v>200</v>
      </c>
      <c r="D611" s="558">
        <v>2100</v>
      </c>
      <c r="F611" s="11" t="s">
        <v>1325</v>
      </c>
      <c r="G611" s="698">
        <v>94.09</v>
      </c>
      <c r="H611" s="12" t="s">
        <v>889</v>
      </c>
      <c r="I611" s="12" t="s">
        <v>897</v>
      </c>
      <c r="J611" s="12" t="s">
        <v>902</v>
      </c>
      <c r="K611" s="12" t="s">
        <v>903</v>
      </c>
      <c r="L611" s="12"/>
      <c r="M611" s="11"/>
      <c r="N611" s="11"/>
      <c r="O611" s="11"/>
      <c r="P611" s="11"/>
    </row>
    <row r="612" spans="1:16" x14ac:dyDescent="0.25">
      <c r="A612" s="695">
        <v>56610</v>
      </c>
      <c r="B612" s="558">
        <v>1319</v>
      </c>
      <c r="C612" s="693">
        <v>100</v>
      </c>
      <c r="D612" s="558">
        <v>1000</v>
      </c>
      <c r="F612" s="11" t="s">
        <v>1325</v>
      </c>
      <c r="G612" s="698">
        <v>16757.88</v>
      </c>
      <c r="H612" s="12" t="s">
        <v>968</v>
      </c>
      <c r="I612" s="12" t="s">
        <v>893</v>
      </c>
      <c r="J612" s="12" t="s">
        <v>894</v>
      </c>
      <c r="K612" s="12" t="s">
        <v>903</v>
      </c>
      <c r="L612" s="12"/>
      <c r="M612" s="11"/>
      <c r="N612" s="11"/>
      <c r="O612" s="11"/>
      <c r="P612" s="11"/>
    </row>
    <row r="613" spans="1:16" x14ac:dyDescent="0.25">
      <c r="A613" s="695">
        <v>56610</v>
      </c>
      <c r="B613" s="558">
        <v>1319</v>
      </c>
      <c r="C613" s="693">
        <v>100</v>
      </c>
      <c r="D613" s="558">
        <v>2100</v>
      </c>
      <c r="F613" s="11" t="s">
        <v>1325</v>
      </c>
      <c r="G613" s="698">
        <v>1182.69</v>
      </c>
      <c r="H613" s="12" t="s">
        <v>968</v>
      </c>
      <c r="I613" s="12" t="s">
        <v>893</v>
      </c>
      <c r="J613" s="12" t="s">
        <v>902</v>
      </c>
      <c r="K613" s="12" t="s">
        <v>903</v>
      </c>
      <c r="L613" s="12"/>
      <c r="M613" s="11"/>
      <c r="N613" s="11"/>
      <c r="O613" s="11"/>
      <c r="P613" s="11"/>
    </row>
    <row r="614" spans="1:16" x14ac:dyDescent="0.25">
      <c r="A614" s="695">
        <v>56610</v>
      </c>
      <c r="B614" s="558">
        <v>1731</v>
      </c>
      <c r="C614" s="693">
        <v>620</v>
      </c>
      <c r="D614" s="558">
        <v>1000</v>
      </c>
      <c r="F614" s="11" t="s">
        <v>1325</v>
      </c>
      <c r="G614" s="698">
        <v>787.5</v>
      </c>
      <c r="H614" s="12" t="s">
        <v>997</v>
      </c>
      <c r="I614" s="12" t="s">
        <v>941</v>
      </c>
      <c r="J614" s="12" t="s">
        <v>894</v>
      </c>
      <c r="K614" s="12" t="s">
        <v>903</v>
      </c>
      <c r="L614" s="12"/>
      <c r="M614" s="11"/>
      <c r="N614" s="11"/>
      <c r="O614" s="11"/>
      <c r="P614" s="11"/>
    </row>
    <row r="615" spans="1:16" x14ac:dyDescent="0.25">
      <c r="A615" s="695">
        <v>56610</v>
      </c>
      <c r="B615" s="558">
        <v>1731</v>
      </c>
      <c r="C615" s="693">
        <v>620</v>
      </c>
      <c r="D615" s="558">
        <v>2100</v>
      </c>
      <c r="F615" s="11" t="s">
        <v>1325</v>
      </c>
      <c r="G615" s="698">
        <v>20</v>
      </c>
      <c r="H615" s="12" t="s">
        <v>997</v>
      </c>
      <c r="I615" s="12" t="s">
        <v>941</v>
      </c>
      <c r="J615" s="12" t="s">
        <v>902</v>
      </c>
      <c r="K615" s="12" t="s">
        <v>903</v>
      </c>
      <c r="L615" s="12"/>
      <c r="M615" s="11"/>
      <c r="N615" s="11"/>
      <c r="O615" s="11"/>
      <c r="P615" s="11"/>
    </row>
    <row r="616" spans="1:16" x14ac:dyDescent="0.25">
      <c r="A616" s="695">
        <v>56610</v>
      </c>
      <c r="B616" s="558">
        <v>1732</v>
      </c>
      <c r="C616" s="693">
        <v>620</v>
      </c>
      <c r="D616" s="558">
        <v>1000</v>
      </c>
      <c r="F616" s="11" t="s">
        <v>1325</v>
      </c>
      <c r="G616" s="698">
        <v>495</v>
      </c>
      <c r="H616" s="12" t="s">
        <v>997</v>
      </c>
      <c r="I616" s="12" t="s">
        <v>941</v>
      </c>
      <c r="J616" s="12" t="s">
        <v>894</v>
      </c>
      <c r="K616" s="12" t="s">
        <v>903</v>
      </c>
      <c r="L616" s="12"/>
      <c r="M616" s="11"/>
      <c r="N616" s="11"/>
      <c r="O616" s="11"/>
      <c r="P616" s="11"/>
    </row>
    <row r="617" spans="1:16" x14ac:dyDescent="0.25">
      <c r="A617" s="695">
        <v>56610</v>
      </c>
      <c r="B617" s="558">
        <v>1734</v>
      </c>
      <c r="C617" s="693">
        <v>620</v>
      </c>
      <c r="D617" s="558">
        <v>1000</v>
      </c>
      <c r="F617" s="11" t="s">
        <v>1325</v>
      </c>
      <c r="G617" s="698">
        <v>225</v>
      </c>
      <c r="H617" s="12" t="s">
        <v>997</v>
      </c>
      <c r="I617" s="12" t="s">
        <v>941</v>
      </c>
      <c r="J617" s="12" t="s">
        <v>894</v>
      </c>
      <c r="K617" s="12" t="s">
        <v>903</v>
      </c>
      <c r="L617" s="12"/>
      <c r="M617" s="11"/>
      <c r="N617" s="11"/>
      <c r="O617" s="11"/>
      <c r="P617" s="11"/>
    </row>
    <row r="618" spans="1:16" x14ac:dyDescent="0.25">
      <c r="A618" s="695">
        <v>56610</v>
      </c>
      <c r="B618" s="558">
        <v>1737</v>
      </c>
      <c r="C618" s="693">
        <v>620</v>
      </c>
      <c r="D618" s="558">
        <v>1000</v>
      </c>
      <c r="F618" s="11" t="s">
        <v>1325</v>
      </c>
      <c r="G618" s="698">
        <v>322.5</v>
      </c>
      <c r="H618" s="12" t="s">
        <v>997</v>
      </c>
      <c r="I618" s="12" t="s">
        <v>941</v>
      </c>
      <c r="J618" s="12" t="s">
        <v>894</v>
      </c>
      <c r="K618" s="12" t="s">
        <v>903</v>
      </c>
      <c r="L618" s="12"/>
      <c r="M618" s="11"/>
      <c r="N618" s="11"/>
      <c r="O618" s="11"/>
      <c r="P618" s="11"/>
    </row>
    <row r="619" spans="1:16" x14ac:dyDescent="0.25">
      <c r="A619" s="695">
        <v>56610</v>
      </c>
      <c r="B619" s="558">
        <v>1739</v>
      </c>
      <c r="C619" s="693">
        <v>615</v>
      </c>
      <c r="D619" s="558">
        <v>1000</v>
      </c>
      <c r="F619" s="11" t="s">
        <v>1325</v>
      </c>
      <c r="G619" s="698">
        <v>11</v>
      </c>
      <c r="H619" s="12" t="s">
        <v>997</v>
      </c>
      <c r="I619" s="12" t="s">
        <v>937</v>
      </c>
      <c r="J619" s="12" t="s">
        <v>894</v>
      </c>
      <c r="K619" s="12" t="s">
        <v>903</v>
      </c>
      <c r="L619" s="12"/>
      <c r="M619" s="11"/>
      <c r="N619" s="11"/>
      <c r="O619" s="11"/>
      <c r="P619" s="11"/>
    </row>
    <row r="620" spans="1:16" x14ac:dyDescent="0.25">
      <c r="A620" s="695">
        <v>56610</v>
      </c>
      <c r="B620" s="558">
        <v>1739</v>
      </c>
      <c r="C620" s="693">
        <v>620</v>
      </c>
      <c r="D620" s="558">
        <v>1000</v>
      </c>
      <c r="F620" s="11" t="s">
        <v>1325</v>
      </c>
      <c r="G620" s="698">
        <v>1017.5</v>
      </c>
      <c r="H620" s="12" t="s">
        <v>997</v>
      </c>
      <c r="I620" s="12" t="s">
        <v>941</v>
      </c>
      <c r="J620" s="12" t="s">
        <v>894</v>
      </c>
      <c r="K620" s="12" t="s">
        <v>903</v>
      </c>
      <c r="L620" s="12"/>
      <c r="M620" s="11"/>
      <c r="N620" s="11"/>
      <c r="O620" s="11"/>
      <c r="P620" s="11"/>
    </row>
    <row r="621" spans="1:16" x14ac:dyDescent="0.25">
      <c r="A621" s="695">
        <v>56610</v>
      </c>
      <c r="B621" s="558">
        <v>1745</v>
      </c>
      <c r="C621" s="693">
        <v>620</v>
      </c>
      <c r="D621" s="558">
        <v>1000</v>
      </c>
      <c r="F621" s="11" t="s">
        <v>1325</v>
      </c>
      <c r="G621" s="698">
        <v>182.97</v>
      </c>
      <c r="H621" s="12" t="s">
        <v>997</v>
      </c>
      <c r="I621" s="12" t="s">
        <v>941</v>
      </c>
      <c r="J621" s="12" t="s">
        <v>894</v>
      </c>
      <c r="K621" s="12" t="s">
        <v>903</v>
      </c>
      <c r="L621" s="12"/>
      <c r="M621" s="11"/>
      <c r="N621" s="11"/>
      <c r="O621" s="11"/>
      <c r="P621" s="11"/>
    </row>
    <row r="622" spans="1:16" x14ac:dyDescent="0.25">
      <c r="A622" s="695">
        <v>56610</v>
      </c>
      <c r="B622" s="558">
        <v>1752</v>
      </c>
      <c r="C622" s="693">
        <v>615</v>
      </c>
      <c r="D622" s="558">
        <v>1000</v>
      </c>
      <c r="F622" s="11" t="s">
        <v>1325</v>
      </c>
      <c r="G622" s="698">
        <v>2895.28</v>
      </c>
      <c r="H622" s="12" t="s">
        <v>997</v>
      </c>
      <c r="I622" s="12" t="s">
        <v>937</v>
      </c>
      <c r="J622" s="12" t="s">
        <v>894</v>
      </c>
      <c r="K622" s="12" t="s">
        <v>903</v>
      </c>
      <c r="L622" s="12"/>
      <c r="M622" s="11"/>
      <c r="N622" s="11"/>
      <c r="O622" s="11"/>
      <c r="P622" s="11"/>
    </row>
    <row r="623" spans="1:16" x14ac:dyDescent="0.25">
      <c r="A623" s="695">
        <v>56610</v>
      </c>
      <c r="B623" s="558" t="s">
        <v>1245</v>
      </c>
      <c r="C623" s="693">
        <v>100</v>
      </c>
      <c r="D623" s="558">
        <v>1000</v>
      </c>
      <c r="F623" s="11" t="s">
        <v>1325</v>
      </c>
      <c r="G623" s="698">
        <v>201.09</v>
      </c>
      <c r="H623" s="12" t="s">
        <v>904</v>
      </c>
      <c r="I623" s="12" t="s">
        <v>893</v>
      </c>
      <c r="J623" s="12" t="s">
        <v>894</v>
      </c>
      <c r="K623" s="12" t="s">
        <v>903</v>
      </c>
      <c r="L623" s="12"/>
      <c r="M623" s="11"/>
      <c r="N623" s="11"/>
      <c r="O623" s="11"/>
      <c r="P623" s="11"/>
    </row>
    <row r="624" spans="1:16" x14ac:dyDescent="0.25">
      <c r="A624" s="694">
        <v>56610</v>
      </c>
      <c r="B624" s="558" t="s">
        <v>1245</v>
      </c>
      <c r="C624" s="693">
        <v>100</v>
      </c>
      <c r="D624" s="558">
        <v>2100</v>
      </c>
      <c r="F624" s="11" t="s">
        <v>1325</v>
      </c>
      <c r="G624" s="698">
        <v>257.41000000000003</v>
      </c>
      <c r="H624" s="12" t="s">
        <v>904</v>
      </c>
      <c r="I624" s="12" t="s">
        <v>893</v>
      </c>
      <c r="J624" s="12" t="s">
        <v>902</v>
      </c>
      <c r="K624" s="12" t="s">
        <v>903</v>
      </c>
      <c r="L624" s="12"/>
      <c r="M624" s="11"/>
      <c r="N624" s="11"/>
      <c r="O624" s="11"/>
      <c r="P624" s="11"/>
    </row>
    <row r="625" spans="1:16" x14ac:dyDescent="0.25">
      <c r="A625" s="695">
        <v>56613</v>
      </c>
      <c r="B625" s="558">
        <v>1000</v>
      </c>
      <c r="C625" s="693">
        <v>100</v>
      </c>
      <c r="D625" s="558">
        <v>1000</v>
      </c>
      <c r="F625" s="11" t="s">
        <v>1326</v>
      </c>
      <c r="G625" s="698">
        <v>331.05</v>
      </c>
      <c r="H625" s="12" t="s">
        <v>889</v>
      </c>
      <c r="I625" s="12" t="s">
        <v>893</v>
      </c>
      <c r="J625" s="12" t="s">
        <v>894</v>
      </c>
      <c r="K625" s="12" t="s">
        <v>903</v>
      </c>
      <c r="L625" s="12"/>
      <c r="M625" s="11"/>
      <c r="N625" s="11"/>
      <c r="O625" s="11"/>
      <c r="P625" s="11"/>
    </row>
    <row r="626" spans="1:16" x14ac:dyDescent="0.25">
      <c r="A626" s="694">
        <v>56613</v>
      </c>
      <c r="B626" s="558">
        <v>1000</v>
      </c>
      <c r="C626" s="693">
        <v>100</v>
      </c>
      <c r="D626" s="558">
        <v>2100</v>
      </c>
      <c r="F626" s="11" t="s">
        <v>1326</v>
      </c>
      <c r="G626" s="698">
        <v>384.57</v>
      </c>
      <c r="H626" s="12" t="s">
        <v>889</v>
      </c>
      <c r="I626" s="12" t="s">
        <v>893</v>
      </c>
      <c r="J626" s="12" t="s">
        <v>902</v>
      </c>
      <c r="K626" s="12" t="s">
        <v>903</v>
      </c>
      <c r="L626" s="12"/>
      <c r="M626" s="11"/>
      <c r="N626" s="11"/>
      <c r="O626" s="11"/>
      <c r="P626" s="11"/>
    </row>
    <row r="627" spans="1:16" x14ac:dyDescent="0.25">
      <c r="A627" s="695">
        <v>56614</v>
      </c>
      <c r="B627" s="558">
        <v>1000</v>
      </c>
      <c r="C627" s="693">
        <v>200</v>
      </c>
      <c r="D627" s="558">
        <v>2100</v>
      </c>
      <c r="F627" s="11" t="s">
        <v>1327</v>
      </c>
      <c r="G627" s="698">
        <v>1139.23</v>
      </c>
      <c r="H627" s="12" t="s">
        <v>889</v>
      </c>
      <c r="I627" s="12" t="s">
        <v>897</v>
      </c>
      <c r="J627" s="12" t="s">
        <v>902</v>
      </c>
      <c r="K627" s="12" t="s">
        <v>903</v>
      </c>
      <c r="L627" s="12"/>
      <c r="M627" s="11"/>
      <c r="N627" s="11"/>
      <c r="O627" s="11"/>
      <c r="P627" s="11"/>
    </row>
    <row r="628" spans="1:16" x14ac:dyDescent="0.25">
      <c r="A628" s="695">
        <v>56614</v>
      </c>
      <c r="B628" s="558">
        <v>1000</v>
      </c>
      <c r="C628" s="693">
        <v>240</v>
      </c>
      <c r="D628" s="558">
        <v>2100</v>
      </c>
      <c r="F628" s="11" t="s">
        <v>1327</v>
      </c>
      <c r="G628" s="698">
        <v>245.48</v>
      </c>
      <c r="H628" s="12" t="s">
        <v>889</v>
      </c>
      <c r="I628" s="12" t="s">
        <v>897</v>
      </c>
      <c r="J628" s="12" t="s">
        <v>902</v>
      </c>
      <c r="K628" s="12" t="s">
        <v>903</v>
      </c>
      <c r="L628" s="12"/>
      <c r="M628" s="11"/>
      <c r="N628" s="11"/>
      <c r="O628" s="11"/>
      <c r="P628" s="11"/>
    </row>
    <row r="629" spans="1:16" x14ac:dyDescent="0.25">
      <c r="A629" s="694">
        <v>56614</v>
      </c>
      <c r="B629" s="558">
        <v>1321</v>
      </c>
      <c r="C629" s="693">
        <v>100</v>
      </c>
      <c r="D629" s="558">
        <v>1000</v>
      </c>
      <c r="F629" s="11" t="s">
        <v>1327</v>
      </c>
      <c r="G629" s="698">
        <v>5823.08</v>
      </c>
      <c r="H629" s="12" t="s">
        <v>968</v>
      </c>
      <c r="I629" s="12" t="s">
        <v>893</v>
      </c>
      <c r="J629" s="12" t="s">
        <v>894</v>
      </c>
      <c r="K629" s="12" t="s">
        <v>903</v>
      </c>
      <c r="L629" s="12"/>
      <c r="M629" s="11"/>
      <c r="N629" s="11"/>
      <c r="O629" s="11"/>
      <c r="P629" s="11"/>
    </row>
    <row r="630" spans="1:16" x14ac:dyDescent="0.25">
      <c r="A630" s="694">
        <v>56621</v>
      </c>
      <c r="B630" s="558">
        <v>1000</v>
      </c>
      <c r="C630" s="693">
        <v>100</v>
      </c>
      <c r="D630" s="558">
        <v>2600</v>
      </c>
      <c r="F630" s="11" t="s">
        <v>1328</v>
      </c>
      <c r="G630" s="698">
        <v>6681.55</v>
      </c>
      <c r="H630" s="12" t="s">
        <v>889</v>
      </c>
      <c r="I630" s="12" t="s">
        <v>893</v>
      </c>
      <c r="J630" s="12" t="s">
        <v>930</v>
      </c>
      <c r="K630" s="12" t="s">
        <v>903</v>
      </c>
      <c r="L630" s="12"/>
      <c r="M630" s="11"/>
      <c r="N630" s="11"/>
      <c r="O630" s="11"/>
      <c r="P630" s="11"/>
    </row>
    <row r="631" spans="1:16" x14ac:dyDescent="0.25">
      <c r="A631" s="694">
        <v>56622</v>
      </c>
      <c r="B631" s="558">
        <v>1000</v>
      </c>
      <c r="C631" s="693">
        <v>100</v>
      </c>
      <c r="D631" s="558">
        <v>2600</v>
      </c>
      <c r="F631" s="11" t="s">
        <v>1329</v>
      </c>
      <c r="G631" s="698">
        <v>77825.539999999994</v>
      </c>
      <c r="H631" s="12" t="s">
        <v>889</v>
      </c>
      <c r="I631" s="12" t="s">
        <v>893</v>
      </c>
      <c r="J631" s="12" t="s">
        <v>930</v>
      </c>
      <c r="K631" s="12" t="s">
        <v>903</v>
      </c>
      <c r="L631" s="12"/>
      <c r="M631" s="11"/>
      <c r="N631" s="11"/>
      <c r="O631" s="11"/>
      <c r="P631" s="11"/>
    </row>
    <row r="632" spans="1:16" x14ac:dyDescent="0.25">
      <c r="A632" s="694">
        <v>56631</v>
      </c>
      <c r="B632" s="558">
        <v>1591</v>
      </c>
      <c r="C632" s="693">
        <v>100</v>
      </c>
      <c r="D632" s="558">
        <v>3100</v>
      </c>
      <c r="F632" s="11" t="s">
        <v>1330</v>
      </c>
      <c r="G632" s="698">
        <v>12515.84</v>
      </c>
      <c r="H632" s="12" t="s">
        <v>997</v>
      </c>
      <c r="I632" s="12" t="s">
        <v>893</v>
      </c>
      <c r="J632" s="12" t="s">
        <v>942</v>
      </c>
      <c r="K632" s="12" t="s">
        <v>903</v>
      </c>
      <c r="L632" s="12"/>
      <c r="M632" s="11"/>
      <c r="N632" s="11"/>
      <c r="O632" s="11"/>
      <c r="P632" s="11"/>
    </row>
    <row r="633" spans="1:16" x14ac:dyDescent="0.25">
      <c r="A633" s="694">
        <v>56632</v>
      </c>
      <c r="B633" s="558">
        <v>1000</v>
      </c>
      <c r="C633" s="693">
        <v>100</v>
      </c>
      <c r="D633" s="558">
        <v>3100</v>
      </c>
      <c r="F633" s="11" t="s">
        <v>1331</v>
      </c>
      <c r="G633" s="698">
        <v>842.88</v>
      </c>
      <c r="H633" s="12" t="s">
        <v>889</v>
      </c>
      <c r="I633" s="12" t="s">
        <v>893</v>
      </c>
      <c r="J633" s="12" t="s">
        <v>942</v>
      </c>
      <c r="K633" s="12" t="s">
        <v>903</v>
      </c>
      <c r="L633" s="12"/>
      <c r="M633" s="11"/>
      <c r="N633" s="11"/>
      <c r="O633" s="11"/>
      <c r="P633" s="11"/>
    </row>
    <row r="634" spans="1:16" x14ac:dyDescent="0.25">
      <c r="A634" s="695">
        <v>56633</v>
      </c>
      <c r="B634" s="558">
        <v>1591</v>
      </c>
      <c r="C634" s="693">
        <v>100</v>
      </c>
      <c r="D634" s="558">
        <v>3100</v>
      </c>
      <c r="F634" s="11" t="s">
        <v>1332</v>
      </c>
      <c r="G634" s="698">
        <v>48.4</v>
      </c>
      <c r="H634" s="12" t="s">
        <v>997</v>
      </c>
      <c r="I634" s="12" t="s">
        <v>893</v>
      </c>
      <c r="J634" s="12" t="s">
        <v>942</v>
      </c>
      <c r="K634" s="12" t="s">
        <v>903</v>
      </c>
      <c r="L634" s="12"/>
      <c r="M634" s="11"/>
      <c r="N634" s="11"/>
      <c r="O634" s="11"/>
      <c r="P634" s="11"/>
    </row>
    <row r="635" spans="1:16" x14ac:dyDescent="0.25">
      <c r="A635" s="695">
        <v>56633</v>
      </c>
      <c r="B635" s="558" t="s">
        <v>1246</v>
      </c>
      <c r="C635" s="693">
        <v>100</v>
      </c>
      <c r="D635" s="558">
        <v>3100</v>
      </c>
      <c r="F635" s="11" t="s">
        <v>1332</v>
      </c>
      <c r="G635" s="698">
        <v>142181.6</v>
      </c>
      <c r="H635" s="12" t="s">
        <v>997</v>
      </c>
      <c r="I635" s="12" t="s">
        <v>893</v>
      </c>
      <c r="J635" s="12" t="s">
        <v>942</v>
      </c>
      <c r="K635" s="12" t="s">
        <v>903</v>
      </c>
      <c r="L635" s="12"/>
      <c r="M635" s="11"/>
      <c r="N635" s="11"/>
      <c r="O635" s="11"/>
      <c r="P635" s="11"/>
    </row>
    <row r="636" spans="1:16" x14ac:dyDescent="0.25">
      <c r="A636" s="694">
        <v>56633</v>
      </c>
      <c r="B636" s="558" t="s">
        <v>1247</v>
      </c>
      <c r="C636" s="693">
        <v>100</v>
      </c>
      <c r="D636" s="558">
        <v>3100</v>
      </c>
      <c r="F636" s="11" t="s">
        <v>1332</v>
      </c>
      <c r="G636" s="698">
        <v>13942.49</v>
      </c>
      <c r="H636" s="12" t="s">
        <v>997</v>
      </c>
      <c r="I636" s="12" t="s">
        <v>893</v>
      </c>
      <c r="J636" s="12" t="s">
        <v>942</v>
      </c>
      <c r="K636" s="12" t="s">
        <v>903</v>
      </c>
      <c r="L636" s="12"/>
      <c r="M636" s="11"/>
      <c r="N636" s="11"/>
      <c r="O636" s="11"/>
      <c r="P636" s="11"/>
    </row>
    <row r="637" spans="1:16" x14ac:dyDescent="0.25">
      <c r="A637" s="694">
        <v>56634</v>
      </c>
      <c r="B637" s="558">
        <v>1591</v>
      </c>
      <c r="C637" s="693">
        <v>100</v>
      </c>
      <c r="D637" s="558">
        <v>3100</v>
      </c>
      <c r="F637" s="11" t="s">
        <v>1333</v>
      </c>
      <c r="G637" s="698">
        <v>905</v>
      </c>
      <c r="H637" s="12" t="s">
        <v>997</v>
      </c>
      <c r="I637" s="12" t="s">
        <v>893</v>
      </c>
      <c r="J637" s="12" t="s">
        <v>942</v>
      </c>
      <c r="K637" s="12" t="s">
        <v>903</v>
      </c>
      <c r="L637" s="12"/>
      <c r="M637" s="11"/>
      <c r="N637" s="11"/>
      <c r="O637" s="11"/>
      <c r="P637" s="11"/>
    </row>
    <row r="638" spans="1:16" x14ac:dyDescent="0.25">
      <c r="A638" s="695">
        <v>56640</v>
      </c>
      <c r="B638" s="558">
        <v>1000</v>
      </c>
      <c r="C638" s="693">
        <v>100</v>
      </c>
      <c r="D638" s="558">
        <v>1000</v>
      </c>
      <c r="F638" s="11" t="s">
        <v>1334</v>
      </c>
      <c r="G638" s="698">
        <v>21064.799999999999</v>
      </c>
      <c r="H638" s="12" t="s">
        <v>889</v>
      </c>
      <c r="I638" s="12" t="s">
        <v>893</v>
      </c>
      <c r="J638" s="12" t="s">
        <v>894</v>
      </c>
      <c r="K638" s="12" t="s">
        <v>903</v>
      </c>
      <c r="L638" s="12"/>
      <c r="M638" s="11"/>
      <c r="N638" s="11"/>
      <c r="O638" s="11"/>
      <c r="P638" s="11"/>
    </row>
    <row r="639" spans="1:16" x14ac:dyDescent="0.25">
      <c r="A639" s="695">
        <v>56640</v>
      </c>
      <c r="B639" s="558">
        <v>1000</v>
      </c>
      <c r="C639" s="693">
        <v>100</v>
      </c>
      <c r="D639" s="558">
        <v>2200</v>
      </c>
      <c r="F639" s="11" t="s">
        <v>1334</v>
      </c>
      <c r="G639" s="698">
        <v>3.95</v>
      </c>
      <c r="H639" s="12" t="s">
        <v>889</v>
      </c>
      <c r="I639" s="12" t="s">
        <v>893</v>
      </c>
      <c r="J639" s="12" t="s">
        <v>906</v>
      </c>
      <c r="K639" s="12" t="s">
        <v>903</v>
      </c>
      <c r="L639" s="12"/>
      <c r="M639" s="11"/>
      <c r="N639" s="11"/>
      <c r="O639" s="11"/>
      <c r="P639" s="11"/>
    </row>
    <row r="640" spans="1:16" x14ac:dyDescent="0.25">
      <c r="A640" s="695">
        <v>56640</v>
      </c>
      <c r="B640" s="558">
        <v>1000</v>
      </c>
      <c r="C640" s="693">
        <v>200</v>
      </c>
      <c r="D640" s="558">
        <v>2100</v>
      </c>
      <c r="F640" s="11" t="s">
        <v>1334</v>
      </c>
      <c r="G640" s="698">
        <v>538.76</v>
      </c>
      <c r="H640" s="12" t="s">
        <v>889</v>
      </c>
      <c r="I640" s="12" t="s">
        <v>897</v>
      </c>
      <c r="J640" s="12" t="s">
        <v>902</v>
      </c>
      <c r="K640" s="12" t="s">
        <v>903</v>
      </c>
      <c r="L640" s="12"/>
      <c r="M640" s="11"/>
      <c r="N640" s="11"/>
      <c r="O640" s="11"/>
      <c r="P640" s="11"/>
    </row>
    <row r="641" spans="1:16" x14ac:dyDescent="0.25">
      <c r="A641" s="694">
        <v>56640</v>
      </c>
      <c r="B641" s="558">
        <v>1020</v>
      </c>
      <c r="C641" s="693">
        <v>100</v>
      </c>
      <c r="D641" s="558">
        <v>1000</v>
      </c>
      <c r="F641" s="11" t="s">
        <v>1334</v>
      </c>
      <c r="G641" s="698">
        <v>30479.67</v>
      </c>
      <c r="H641" s="12" t="s">
        <v>892</v>
      </c>
      <c r="I641" s="12" t="s">
        <v>893</v>
      </c>
      <c r="J641" s="12" t="s">
        <v>894</v>
      </c>
      <c r="K641" s="12" t="s">
        <v>903</v>
      </c>
      <c r="L641" s="12"/>
      <c r="M641" s="11"/>
      <c r="N641" s="11"/>
      <c r="O641" s="11"/>
      <c r="P641" s="11"/>
    </row>
    <row r="642" spans="1:16" x14ac:dyDescent="0.25">
      <c r="A642" s="694">
        <v>56642</v>
      </c>
      <c r="B642" s="558">
        <v>1000</v>
      </c>
      <c r="C642" s="693">
        <v>100</v>
      </c>
      <c r="D642" s="558">
        <v>1000</v>
      </c>
      <c r="F642" s="11" t="s">
        <v>1335</v>
      </c>
      <c r="G642" s="698">
        <v>18493.669999999998</v>
      </c>
      <c r="H642" s="12" t="s">
        <v>889</v>
      </c>
      <c r="I642" s="12" t="s">
        <v>893</v>
      </c>
      <c r="J642" s="12" t="s">
        <v>894</v>
      </c>
      <c r="K642" s="12" t="s">
        <v>903</v>
      </c>
      <c r="L642" s="12"/>
      <c r="M642" s="11"/>
      <c r="N642" s="11"/>
      <c r="O642" s="11"/>
      <c r="P642" s="11"/>
    </row>
    <row r="643" spans="1:16" x14ac:dyDescent="0.25">
      <c r="A643" s="695">
        <v>56650</v>
      </c>
      <c r="B643" s="558">
        <v>1000</v>
      </c>
      <c r="C643" s="693">
        <v>100</v>
      </c>
      <c r="D643" s="558">
        <v>1000</v>
      </c>
      <c r="F643" s="11" t="s">
        <v>1336</v>
      </c>
      <c r="G643" s="698">
        <v>93.83</v>
      </c>
      <c r="H643" s="12" t="s">
        <v>889</v>
      </c>
      <c r="I643" s="12" t="s">
        <v>893</v>
      </c>
      <c r="J643" s="12" t="s">
        <v>894</v>
      </c>
      <c r="K643" s="12" t="s">
        <v>903</v>
      </c>
      <c r="L643" s="12"/>
      <c r="M643" s="11"/>
      <c r="N643" s="11"/>
      <c r="O643" s="11"/>
      <c r="P643" s="11"/>
    </row>
    <row r="644" spans="1:16" x14ac:dyDescent="0.25">
      <c r="A644" s="695">
        <v>56650</v>
      </c>
      <c r="B644" s="558">
        <v>1000</v>
      </c>
      <c r="C644" s="693">
        <v>100</v>
      </c>
      <c r="D644" s="558">
        <v>2300</v>
      </c>
      <c r="F644" s="11" t="s">
        <v>1336</v>
      </c>
      <c r="G644" s="698">
        <v>3.54</v>
      </c>
      <c r="H644" s="12" t="s">
        <v>889</v>
      </c>
      <c r="I644" s="12" t="s">
        <v>893</v>
      </c>
      <c r="J644" s="12" t="s">
        <v>918</v>
      </c>
      <c r="K644" s="12" t="s">
        <v>903</v>
      </c>
      <c r="L644" s="12"/>
      <c r="M644" s="11"/>
      <c r="N644" s="11"/>
      <c r="O644" s="11"/>
      <c r="P644" s="11"/>
    </row>
    <row r="645" spans="1:16" x14ac:dyDescent="0.25">
      <c r="A645" s="694">
        <v>56650</v>
      </c>
      <c r="B645" s="558">
        <v>1000</v>
      </c>
      <c r="C645" s="693">
        <v>100</v>
      </c>
      <c r="D645" s="558">
        <v>2500</v>
      </c>
      <c r="F645" s="11" t="s">
        <v>1336</v>
      </c>
      <c r="G645" s="698">
        <v>49.98</v>
      </c>
      <c r="H645" s="12" t="s">
        <v>889</v>
      </c>
      <c r="I645" s="12" t="s">
        <v>893</v>
      </c>
      <c r="J645" s="12" t="s">
        <v>926</v>
      </c>
      <c r="K645" s="12" t="s">
        <v>903</v>
      </c>
      <c r="L645" s="12"/>
      <c r="M645" s="11"/>
      <c r="N645" s="11"/>
      <c r="O645" s="11"/>
      <c r="P645" s="11"/>
    </row>
    <row r="646" spans="1:16" x14ac:dyDescent="0.25">
      <c r="A646" s="695">
        <v>56699</v>
      </c>
      <c r="B646" s="558">
        <v>1000</v>
      </c>
      <c r="C646" s="693">
        <v>100</v>
      </c>
      <c r="D646" s="558">
        <v>1000</v>
      </c>
      <c r="F646" s="11" t="s">
        <v>1337</v>
      </c>
      <c r="G646" s="698">
        <v>4162.68</v>
      </c>
      <c r="H646" s="12" t="s">
        <v>889</v>
      </c>
      <c r="I646" s="12" t="s">
        <v>893</v>
      </c>
      <c r="J646" s="12" t="s">
        <v>894</v>
      </c>
      <c r="K646" s="12" t="s">
        <v>903</v>
      </c>
      <c r="L646" s="12"/>
      <c r="M646" s="11"/>
      <c r="N646" s="11"/>
      <c r="O646" s="11"/>
      <c r="P646" s="11"/>
    </row>
    <row r="647" spans="1:16" x14ac:dyDescent="0.25">
      <c r="A647" s="695">
        <v>56699</v>
      </c>
      <c r="B647" s="558">
        <v>1000</v>
      </c>
      <c r="C647" s="693">
        <v>100</v>
      </c>
      <c r="D647" s="558">
        <v>2100</v>
      </c>
      <c r="F647" s="11" t="s">
        <v>1337</v>
      </c>
      <c r="G647" s="698">
        <v>111.02</v>
      </c>
      <c r="H647" s="12" t="s">
        <v>889</v>
      </c>
      <c r="I647" s="12" t="s">
        <v>893</v>
      </c>
      <c r="J647" s="12" t="s">
        <v>902</v>
      </c>
      <c r="K647" s="12" t="s">
        <v>903</v>
      </c>
      <c r="L647" s="12"/>
      <c r="M647" s="11"/>
      <c r="N647" s="11"/>
      <c r="O647" s="11"/>
      <c r="P647" s="11"/>
    </row>
    <row r="648" spans="1:16" x14ac:dyDescent="0.25">
      <c r="A648" s="695">
        <v>56699</v>
      </c>
      <c r="B648" s="558">
        <v>1000</v>
      </c>
      <c r="C648" s="693">
        <v>100</v>
      </c>
      <c r="D648" s="558">
        <v>2400</v>
      </c>
      <c r="F648" s="11" t="s">
        <v>1337</v>
      </c>
      <c r="G648" s="698">
        <v>559</v>
      </c>
      <c r="H648" s="12" t="s">
        <v>889</v>
      </c>
      <c r="I648" s="12" t="s">
        <v>893</v>
      </c>
      <c r="J648" s="12" t="s">
        <v>922</v>
      </c>
      <c r="K648" s="12" t="s">
        <v>903</v>
      </c>
      <c r="L648" s="12"/>
      <c r="M648" s="11"/>
      <c r="N648" s="11"/>
      <c r="O648" s="11"/>
      <c r="P648" s="11"/>
    </row>
    <row r="649" spans="1:16" x14ac:dyDescent="0.25">
      <c r="A649" s="695">
        <v>56699</v>
      </c>
      <c r="B649" s="558">
        <v>1000</v>
      </c>
      <c r="C649" s="693">
        <v>100</v>
      </c>
      <c r="D649" s="558">
        <v>2500</v>
      </c>
      <c r="F649" s="11" t="s">
        <v>1337</v>
      </c>
      <c r="G649" s="698">
        <v>14725.09</v>
      </c>
      <c r="H649" s="12" t="s">
        <v>889</v>
      </c>
      <c r="I649" s="12" t="s">
        <v>893</v>
      </c>
      <c r="J649" s="12" t="s">
        <v>926</v>
      </c>
      <c r="K649" s="12" t="s">
        <v>903</v>
      </c>
      <c r="L649" s="12"/>
      <c r="M649" s="11"/>
      <c r="N649" s="11"/>
      <c r="O649" s="11"/>
      <c r="P649" s="11"/>
    </row>
    <row r="650" spans="1:16" x14ac:dyDescent="0.25">
      <c r="A650" s="695">
        <v>56699</v>
      </c>
      <c r="B650" s="558">
        <v>1000</v>
      </c>
      <c r="C650" s="693">
        <v>100</v>
      </c>
      <c r="D650" s="558">
        <v>2600</v>
      </c>
      <c r="F650" s="11" t="s">
        <v>1337</v>
      </c>
      <c r="G650" s="698">
        <v>1177.23</v>
      </c>
      <c r="H650" s="12" t="s">
        <v>889</v>
      </c>
      <c r="I650" s="12" t="s">
        <v>893</v>
      </c>
      <c r="J650" s="12" t="s">
        <v>930</v>
      </c>
      <c r="K650" s="12" t="s">
        <v>903</v>
      </c>
      <c r="L650" s="12"/>
      <c r="M650" s="11"/>
      <c r="N650" s="11"/>
      <c r="O650" s="11"/>
      <c r="P650" s="11"/>
    </row>
    <row r="651" spans="1:16" x14ac:dyDescent="0.25">
      <c r="A651" s="695">
        <v>56699</v>
      </c>
      <c r="B651" s="558">
        <v>1000</v>
      </c>
      <c r="C651" s="693">
        <v>100</v>
      </c>
      <c r="D651" s="558">
        <v>3100</v>
      </c>
      <c r="F651" s="11" t="s">
        <v>1337</v>
      </c>
      <c r="G651" s="698">
        <v>431.59</v>
      </c>
      <c r="H651" s="12" t="s">
        <v>889</v>
      </c>
      <c r="I651" s="12" t="s">
        <v>893</v>
      </c>
      <c r="J651" s="12" t="s">
        <v>942</v>
      </c>
      <c r="K651" s="12" t="s">
        <v>903</v>
      </c>
      <c r="L651" s="12"/>
      <c r="M651" s="11"/>
      <c r="N651" s="11"/>
      <c r="O651" s="11"/>
      <c r="P651" s="11"/>
    </row>
    <row r="652" spans="1:16" x14ac:dyDescent="0.25">
      <c r="A652" s="695">
        <v>56699</v>
      </c>
      <c r="B652" s="558">
        <v>1319</v>
      </c>
      <c r="C652" s="693">
        <v>100</v>
      </c>
      <c r="D652" s="558">
        <v>1000</v>
      </c>
      <c r="F652" s="11" t="s">
        <v>1337</v>
      </c>
      <c r="G652" s="698">
        <v>16226.5</v>
      </c>
      <c r="H652" s="12" t="s">
        <v>968</v>
      </c>
      <c r="I652" s="12" t="s">
        <v>893</v>
      </c>
      <c r="J652" s="12" t="s">
        <v>894</v>
      </c>
      <c r="K652" s="12" t="s">
        <v>903</v>
      </c>
      <c r="L652" s="12"/>
      <c r="M652" s="11"/>
      <c r="N652" s="11"/>
      <c r="O652" s="11"/>
      <c r="P652" s="11"/>
    </row>
    <row r="653" spans="1:16" x14ac:dyDescent="0.25">
      <c r="A653" s="694">
        <v>56699</v>
      </c>
      <c r="B653" s="558">
        <v>1319</v>
      </c>
      <c r="C653" s="693">
        <v>100</v>
      </c>
      <c r="D653" s="558">
        <v>2100</v>
      </c>
      <c r="F653" s="11" t="s">
        <v>1337</v>
      </c>
      <c r="G653" s="698">
        <v>26731.119999999999</v>
      </c>
      <c r="H653" s="12" t="s">
        <v>968</v>
      </c>
      <c r="I653" s="12" t="s">
        <v>893</v>
      </c>
      <c r="J653" s="12" t="s">
        <v>902</v>
      </c>
      <c r="K653" s="12" t="s">
        <v>903</v>
      </c>
      <c r="L653" s="12"/>
      <c r="M653" s="11"/>
      <c r="N653" s="11"/>
      <c r="O653" s="11"/>
      <c r="P653" s="11"/>
    </row>
    <row r="654" spans="1:16" x14ac:dyDescent="0.25">
      <c r="A654" s="694">
        <v>56740</v>
      </c>
      <c r="B654" s="558">
        <v>1000</v>
      </c>
      <c r="C654" s="693">
        <v>100</v>
      </c>
      <c r="D654" s="558">
        <v>2500</v>
      </c>
      <c r="F654" s="11" t="s">
        <v>1338</v>
      </c>
      <c r="G654" s="698">
        <v>53785.96</v>
      </c>
      <c r="H654" s="12" t="s">
        <v>889</v>
      </c>
      <c r="I654" s="12" t="s">
        <v>893</v>
      </c>
      <c r="J654" s="12" t="s">
        <v>926</v>
      </c>
      <c r="K654" s="12" t="s">
        <v>907</v>
      </c>
      <c r="L654" s="12"/>
      <c r="M654" s="11"/>
      <c r="N654" s="11"/>
      <c r="O654" s="11"/>
      <c r="P654" s="11"/>
    </row>
    <row r="655" spans="1:16" x14ac:dyDescent="0.25">
      <c r="A655" s="695">
        <v>56810</v>
      </c>
      <c r="B655" s="558">
        <v>1000</v>
      </c>
      <c r="C655" s="693">
        <v>100</v>
      </c>
      <c r="D655" s="558">
        <v>1000</v>
      </c>
      <c r="F655" s="11" t="s">
        <v>1339</v>
      </c>
      <c r="G655" s="698">
        <v>654.41999999999996</v>
      </c>
      <c r="H655" s="12" t="s">
        <v>889</v>
      </c>
      <c r="I655" s="12" t="s">
        <v>893</v>
      </c>
      <c r="J655" s="12" t="s">
        <v>894</v>
      </c>
      <c r="K655" s="12" t="s">
        <v>911</v>
      </c>
      <c r="L655" s="12"/>
      <c r="M655" s="11"/>
      <c r="N655" s="11"/>
      <c r="O655" s="11"/>
      <c r="P655" s="11"/>
    </row>
    <row r="656" spans="1:16" x14ac:dyDescent="0.25">
      <c r="A656" s="695">
        <v>56810</v>
      </c>
      <c r="B656" s="558">
        <v>1000</v>
      </c>
      <c r="C656" s="693">
        <v>100</v>
      </c>
      <c r="D656" s="558">
        <v>2100</v>
      </c>
      <c r="F656" s="11" t="s">
        <v>1339</v>
      </c>
      <c r="G656" s="698">
        <v>3.41</v>
      </c>
      <c r="H656" s="12" t="s">
        <v>889</v>
      </c>
      <c r="I656" s="12" t="s">
        <v>893</v>
      </c>
      <c r="J656" s="12" t="s">
        <v>902</v>
      </c>
      <c r="K656" s="12" t="s">
        <v>911</v>
      </c>
      <c r="L656" s="12"/>
      <c r="M656" s="11"/>
      <c r="N656" s="11"/>
      <c r="O656" s="11"/>
      <c r="P656" s="11"/>
    </row>
    <row r="657" spans="1:16" x14ac:dyDescent="0.25">
      <c r="A657" s="695">
        <v>56810</v>
      </c>
      <c r="B657" s="558">
        <v>1000</v>
      </c>
      <c r="C657" s="693">
        <v>100</v>
      </c>
      <c r="D657" s="558">
        <v>2300</v>
      </c>
      <c r="F657" s="11" t="s">
        <v>1339</v>
      </c>
      <c r="G657" s="698">
        <v>1377.85</v>
      </c>
      <c r="H657" s="12" t="s">
        <v>889</v>
      </c>
      <c r="I657" s="12" t="s">
        <v>893</v>
      </c>
      <c r="J657" s="12" t="s">
        <v>918</v>
      </c>
      <c r="K657" s="12" t="s">
        <v>911</v>
      </c>
      <c r="L657" s="12"/>
      <c r="M657" s="11"/>
      <c r="N657" s="11"/>
      <c r="O657" s="11"/>
      <c r="P657" s="11"/>
    </row>
    <row r="658" spans="1:16" x14ac:dyDescent="0.25">
      <c r="A658" s="695">
        <v>56810</v>
      </c>
      <c r="B658" s="558">
        <v>1000</v>
      </c>
      <c r="C658" s="693">
        <v>100</v>
      </c>
      <c r="D658" s="558">
        <v>2400</v>
      </c>
      <c r="F658" s="11" t="s">
        <v>1339</v>
      </c>
      <c r="G658" s="698">
        <v>2567.5300000000002</v>
      </c>
      <c r="H658" s="12" t="s">
        <v>889</v>
      </c>
      <c r="I658" s="12" t="s">
        <v>893</v>
      </c>
      <c r="J658" s="12" t="s">
        <v>922</v>
      </c>
      <c r="K658" s="12" t="s">
        <v>911</v>
      </c>
      <c r="L658" s="12"/>
      <c r="M658" s="11"/>
      <c r="N658" s="11"/>
      <c r="O658" s="11"/>
      <c r="P658" s="11"/>
    </row>
    <row r="659" spans="1:16" x14ac:dyDescent="0.25">
      <c r="A659" s="695">
        <v>56810</v>
      </c>
      <c r="B659" s="558">
        <v>1000</v>
      </c>
      <c r="C659" s="693">
        <v>100</v>
      </c>
      <c r="D659" s="558">
        <v>2500</v>
      </c>
      <c r="F659" s="11" t="s">
        <v>1339</v>
      </c>
      <c r="G659" s="698">
        <v>12707.69</v>
      </c>
      <c r="H659" s="12" t="s">
        <v>889</v>
      </c>
      <c r="I659" s="12" t="s">
        <v>893</v>
      </c>
      <c r="J659" s="12" t="s">
        <v>926</v>
      </c>
      <c r="K659" s="12" t="s">
        <v>911</v>
      </c>
      <c r="L659" s="12"/>
      <c r="M659" s="11"/>
      <c r="N659" s="11"/>
      <c r="O659" s="11"/>
      <c r="P659" s="11"/>
    </row>
    <row r="660" spans="1:16" x14ac:dyDescent="0.25">
      <c r="A660" s="695">
        <v>56810</v>
      </c>
      <c r="B660" s="558">
        <v>1000</v>
      </c>
      <c r="C660" s="693">
        <v>100</v>
      </c>
      <c r="D660" s="558">
        <v>2510</v>
      </c>
      <c r="F660" s="11" t="s">
        <v>1339</v>
      </c>
      <c r="G660" s="698">
        <v>9.14</v>
      </c>
      <c r="H660" s="12" t="s">
        <v>889</v>
      </c>
      <c r="I660" s="12" t="s">
        <v>893</v>
      </c>
      <c r="J660" s="12" t="s">
        <v>926</v>
      </c>
      <c r="K660" s="12" t="s">
        <v>911</v>
      </c>
      <c r="L660" s="12"/>
      <c r="M660" s="11"/>
      <c r="N660" s="11"/>
      <c r="O660" s="11"/>
      <c r="P660" s="11"/>
    </row>
    <row r="661" spans="1:16" x14ac:dyDescent="0.25">
      <c r="A661" s="695">
        <v>56810</v>
      </c>
      <c r="B661" s="558">
        <v>1000</v>
      </c>
      <c r="C661" s="693">
        <v>100</v>
      </c>
      <c r="D661" s="558">
        <v>2600</v>
      </c>
      <c r="F661" s="11" t="s">
        <v>1339</v>
      </c>
      <c r="G661" s="698">
        <v>78.34</v>
      </c>
      <c r="H661" s="12" t="s">
        <v>889</v>
      </c>
      <c r="I661" s="12" t="s">
        <v>893</v>
      </c>
      <c r="J661" s="12" t="s">
        <v>930</v>
      </c>
      <c r="K661" s="12" t="s">
        <v>911</v>
      </c>
      <c r="L661" s="12"/>
      <c r="M661" s="11"/>
      <c r="N661" s="11"/>
      <c r="O661" s="11"/>
      <c r="P661" s="11"/>
    </row>
    <row r="662" spans="1:16" x14ac:dyDescent="0.25">
      <c r="A662" s="695">
        <v>56810</v>
      </c>
      <c r="B662" s="558">
        <v>1000</v>
      </c>
      <c r="C662" s="693">
        <v>100</v>
      </c>
      <c r="D662" s="558">
        <v>3100</v>
      </c>
      <c r="F662" s="11" t="s">
        <v>1339</v>
      </c>
      <c r="G662" s="698">
        <v>1807.38</v>
      </c>
      <c r="H662" s="12" t="s">
        <v>889</v>
      </c>
      <c r="I662" s="12" t="s">
        <v>893</v>
      </c>
      <c r="J662" s="12" t="s">
        <v>942</v>
      </c>
      <c r="K662" s="12" t="s">
        <v>911</v>
      </c>
      <c r="L662" s="12"/>
      <c r="M662" s="11"/>
      <c r="N662" s="11"/>
      <c r="O662" s="11"/>
      <c r="P662" s="11"/>
    </row>
    <row r="663" spans="1:16" x14ac:dyDescent="0.25">
      <c r="A663" s="695">
        <v>56810</v>
      </c>
      <c r="B663" s="558">
        <v>1000</v>
      </c>
      <c r="C663" s="693">
        <v>200</v>
      </c>
      <c r="D663" s="558">
        <v>2100</v>
      </c>
      <c r="F663" s="11" t="s">
        <v>1339</v>
      </c>
      <c r="G663" s="698">
        <v>550</v>
      </c>
      <c r="H663" s="12" t="s">
        <v>889</v>
      </c>
      <c r="I663" s="12" t="s">
        <v>897</v>
      </c>
      <c r="J663" s="12" t="s">
        <v>902</v>
      </c>
      <c r="K663" s="12" t="s">
        <v>911</v>
      </c>
      <c r="L663" s="12"/>
      <c r="M663" s="11"/>
      <c r="N663" s="11"/>
      <c r="O663" s="11"/>
      <c r="P663" s="11"/>
    </row>
    <row r="664" spans="1:16" x14ac:dyDescent="0.25">
      <c r="A664" s="695">
        <v>56810</v>
      </c>
      <c r="B664" s="558">
        <v>1000</v>
      </c>
      <c r="C664" s="693">
        <v>240</v>
      </c>
      <c r="D664" s="558">
        <v>2100</v>
      </c>
      <c r="F664" s="11" t="s">
        <v>1339</v>
      </c>
      <c r="G664" s="698">
        <v>14.5</v>
      </c>
      <c r="H664" s="12" t="s">
        <v>889</v>
      </c>
      <c r="I664" s="12" t="s">
        <v>897</v>
      </c>
      <c r="J664" s="12" t="s">
        <v>902</v>
      </c>
      <c r="K664" s="12" t="s">
        <v>911</v>
      </c>
      <c r="L664" s="12"/>
      <c r="M664" s="11"/>
      <c r="N664" s="11"/>
      <c r="O664" s="11"/>
      <c r="P664" s="11"/>
    </row>
    <row r="665" spans="1:16" x14ac:dyDescent="0.25">
      <c r="A665" s="695">
        <v>56810</v>
      </c>
      <c r="B665" s="558">
        <v>1710</v>
      </c>
      <c r="C665" s="693">
        <v>620</v>
      </c>
      <c r="D665" s="558">
        <v>1000</v>
      </c>
      <c r="F665" s="11" t="s">
        <v>1339</v>
      </c>
      <c r="G665" s="698">
        <v>2000</v>
      </c>
      <c r="H665" s="12" t="s">
        <v>997</v>
      </c>
      <c r="I665" s="12" t="s">
        <v>941</v>
      </c>
      <c r="J665" s="12" t="s">
        <v>894</v>
      </c>
      <c r="K665" s="12" t="s">
        <v>911</v>
      </c>
      <c r="L665" s="12"/>
      <c r="M665" s="11"/>
      <c r="N665" s="11"/>
      <c r="O665" s="11"/>
      <c r="P665" s="11"/>
    </row>
    <row r="666" spans="1:16" x14ac:dyDescent="0.25">
      <c r="A666" s="695">
        <v>56810</v>
      </c>
      <c r="B666" s="558">
        <v>1734</v>
      </c>
      <c r="C666" s="693">
        <v>620</v>
      </c>
      <c r="D666" s="558">
        <v>1000</v>
      </c>
      <c r="F666" s="11" t="s">
        <v>1339</v>
      </c>
      <c r="G666" s="698">
        <v>107</v>
      </c>
      <c r="H666" s="12" t="s">
        <v>997</v>
      </c>
      <c r="I666" s="12" t="s">
        <v>941</v>
      </c>
      <c r="J666" s="12" t="s">
        <v>894</v>
      </c>
      <c r="K666" s="12" t="s">
        <v>911</v>
      </c>
      <c r="L666" s="12"/>
      <c r="M666" s="11"/>
      <c r="N666" s="11"/>
      <c r="O666" s="11"/>
      <c r="P666" s="11"/>
    </row>
    <row r="667" spans="1:16" x14ac:dyDescent="0.25">
      <c r="A667" s="695">
        <v>56810</v>
      </c>
      <c r="B667" s="558">
        <v>1824</v>
      </c>
      <c r="C667" s="693">
        <v>620</v>
      </c>
      <c r="D667" s="558">
        <v>1000</v>
      </c>
      <c r="F667" s="11" t="s">
        <v>1339</v>
      </c>
      <c r="G667" s="698">
        <v>120</v>
      </c>
      <c r="H667" s="12" t="s">
        <v>997</v>
      </c>
      <c r="I667" s="12" t="s">
        <v>941</v>
      </c>
      <c r="J667" s="12" t="s">
        <v>894</v>
      </c>
      <c r="K667" s="12" t="s">
        <v>911</v>
      </c>
      <c r="L667" s="12"/>
      <c r="M667" s="11"/>
      <c r="N667" s="11"/>
      <c r="O667" s="11"/>
      <c r="P667" s="11"/>
    </row>
    <row r="668" spans="1:16" x14ac:dyDescent="0.25">
      <c r="A668" s="694">
        <v>56810</v>
      </c>
      <c r="B668" s="558">
        <v>1884</v>
      </c>
      <c r="C668" s="693">
        <v>100</v>
      </c>
      <c r="D668" s="558">
        <v>2500</v>
      </c>
      <c r="F668" s="11" t="s">
        <v>1339</v>
      </c>
      <c r="G668" s="698">
        <v>8.8800000000000008</v>
      </c>
      <c r="H668" s="12" t="s">
        <v>997</v>
      </c>
      <c r="I668" s="12" t="s">
        <v>893</v>
      </c>
      <c r="J668" s="12" t="s">
        <v>926</v>
      </c>
      <c r="K668" s="12" t="s">
        <v>911</v>
      </c>
      <c r="L668" s="12"/>
      <c r="M668" s="11"/>
      <c r="N668" s="11"/>
      <c r="O668" s="11"/>
      <c r="P668" s="11"/>
    </row>
    <row r="669" spans="1:16" x14ac:dyDescent="0.25">
      <c r="A669" s="695">
        <v>56811</v>
      </c>
      <c r="B669" s="558">
        <v>1000</v>
      </c>
      <c r="C669" s="693">
        <v>100</v>
      </c>
      <c r="D669" s="558">
        <v>1000</v>
      </c>
      <c r="F669" s="11" t="s">
        <v>1340</v>
      </c>
      <c r="G669" s="698">
        <v>6326.58</v>
      </c>
      <c r="H669" s="12" t="s">
        <v>889</v>
      </c>
      <c r="I669" s="12" t="s">
        <v>893</v>
      </c>
      <c r="J669" s="12" t="s">
        <v>894</v>
      </c>
      <c r="K669" s="12" t="s">
        <v>911</v>
      </c>
      <c r="L669" s="12"/>
      <c r="M669" s="11"/>
      <c r="N669" s="11"/>
      <c r="O669" s="11"/>
      <c r="P669" s="11"/>
    </row>
    <row r="670" spans="1:16" x14ac:dyDescent="0.25">
      <c r="A670" s="695">
        <v>56811</v>
      </c>
      <c r="B670" s="558">
        <v>1000</v>
      </c>
      <c r="C670" s="693">
        <v>100</v>
      </c>
      <c r="D670" s="558">
        <v>2100</v>
      </c>
      <c r="F670" s="11" t="s">
        <v>1340</v>
      </c>
      <c r="G670" s="698">
        <v>310.16000000000003</v>
      </c>
      <c r="H670" s="12" t="s">
        <v>889</v>
      </c>
      <c r="I670" s="12" t="s">
        <v>893</v>
      </c>
      <c r="J670" s="12" t="s">
        <v>902</v>
      </c>
      <c r="K670" s="12" t="s">
        <v>911</v>
      </c>
      <c r="L670" s="12"/>
      <c r="M670" s="11"/>
      <c r="N670" s="11"/>
      <c r="O670" s="11"/>
      <c r="P670" s="11"/>
    </row>
    <row r="671" spans="1:16" x14ac:dyDescent="0.25">
      <c r="A671" s="695">
        <v>56811</v>
      </c>
      <c r="B671" s="558">
        <v>1000</v>
      </c>
      <c r="C671" s="693">
        <v>100</v>
      </c>
      <c r="D671" s="558">
        <v>2200</v>
      </c>
      <c r="F671" s="11" t="s">
        <v>1340</v>
      </c>
      <c r="G671" s="698">
        <v>254.5</v>
      </c>
      <c r="H671" s="12" t="s">
        <v>889</v>
      </c>
      <c r="I671" s="12" t="s">
        <v>893</v>
      </c>
      <c r="J671" s="12" t="s">
        <v>906</v>
      </c>
      <c r="K671" s="12" t="s">
        <v>911</v>
      </c>
      <c r="L671" s="12"/>
      <c r="M671" s="11"/>
      <c r="N671" s="11"/>
      <c r="O671" s="11"/>
      <c r="P671" s="11"/>
    </row>
    <row r="672" spans="1:16" x14ac:dyDescent="0.25">
      <c r="A672" s="695">
        <v>56811</v>
      </c>
      <c r="B672" s="558">
        <v>1000</v>
      </c>
      <c r="C672" s="693">
        <v>100</v>
      </c>
      <c r="D672" s="558">
        <v>2300</v>
      </c>
      <c r="F672" s="11" t="s">
        <v>1340</v>
      </c>
      <c r="G672" s="698">
        <v>25.26</v>
      </c>
      <c r="H672" s="12" t="s">
        <v>889</v>
      </c>
      <c r="I672" s="12" t="s">
        <v>893</v>
      </c>
      <c r="J672" s="12" t="s">
        <v>918</v>
      </c>
      <c r="K672" s="12" t="s">
        <v>911</v>
      </c>
      <c r="L672" s="12"/>
      <c r="M672" s="11"/>
      <c r="N672" s="11"/>
      <c r="O672" s="11"/>
      <c r="P672" s="11"/>
    </row>
    <row r="673" spans="1:16" x14ac:dyDescent="0.25">
      <c r="A673" s="695">
        <v>56811</v>
      </c>
      <c r="B673" s="558">
        <v>1000</v>
      </c>
      <c r="C673" s="693">
        <v>100</v>
      </c>
      <c r="D673" s="558">
        <v>2400</v>
      </c>
      <c r="F673" s="11" t="s">
        <v>1340</v>
      </c>
      <c r="G673" s="698">
        <v>1.83</v>
      </c>
      <c r="H673" s="12" t="s">
        <v>889</v>
      </c>
      <c r="I673" s="12" t="s">
        <v>893</v>
      </c>
      <c r="J673" s="12" t="s">
        <v>922</v>
      </c>
      <c r="K673" s="12" t="s">
        <v>911</v>
      </c>
      <c r="L673" s="12"/>
      <c r="M673" s="11"/>
      <c r="N673" s="11"/>
      <c r="O673" s="11"/>
      <c r="P673" s="11"/>
    </row>
    <row r="674" spans="1:16" x14ac:dyDescent="0.25">
      <c r="A674" s="695">
        <v>56811</v>
      </c>
      <c r="B674" s="558">
        <v>1000</v>
      </c>
      <c r="C674" s="693">
        <v>100</v>
      </c>
      <c r="D674" s="558">
        <v>2500</v>
      </c>
      <c r="F674" s="11" t="s">
        <v>1340</v>
      </c>
      <c r="G674" s="698">
        <v>123731.84</v>
      </c>
      <c r="H674" s="12" t="s">
        <v>889</v>
      </c>
      <c r="I674" s="12" t="s">
        <v>893</v>
      </c>
      <c r="J674" s="12" t="s">
        <v>926</v>
      </c>
      <c r="K674" s="12" t="s">
        <v>911</v>
      </c>
      <c r="L674" s="12"/>
      <c r="M674" s="11"/>
      <c r="N674" s="11"/>
      <c r="O674" s="11"/>
      <c r="P674" s="11"/>
    </row>
    <row r="675" spans="1:16" x14ac:dyDescent="0.25">
      <c r="A675" s="694">
        <v>56811</v>
      </c>
      <c r="B675" s="558">
        <v>1000</v>
      </c>
      <c r="C675" s="693">
        <v>100</v>
      </c>
      <c r="D675" s="558">
        <v>2600</v>
      </c>
      <c r="F675" s="11" t="s">
        <v>1340</v>
      </c>
      <c r="G675" s="698">
        <v>1944.09</v>
      </c>
      <c r="H675" s="12" t="s">
        <v>889</v>
      </c>
      <c r="I675" s="12" t="s">
        <v>893</v>
      </c>
      <c r="J675" s="12" t="s">
        <v>930</v>
      </c>
      <c r="K675" s="12" t="s">
        <v>911</v>
      </c>
      <c r="L675" s="12"/>
      <c r="M675" s="11"/>
      <c r="N675" s="11"/>
      <c r="O675" s="11"/>
      <c r="P675" s="11"/>
    </row>
    <row r="676" spans="1:16" x14ac:dyDescent="0.25">
      <c r="A676" s="694">
        <v>56820</v>
      </c>
      <c r="B676" s="558">
        <v>1000</v>
      </c>
      <c r="C676" s="693">
        <v>100</v>
      </c>
      <c r="D676" s="558">
        <v>2500</v>
      </c>
      <c r="F676" s="11" t="s">
        <v>1341</v>
      </c>
      <c r="G676" s="698">
        <v>682.78</v>
      </c>
      <c r="H676" s="12" t="s">
        <v>889</v>
      </c>
      <c r="I676" s="12" t="s">
        <v>893</v>
      </c>
      <c r="J676" s="12" t="s">
        <v>918</v>
      </c>
      <c r="K676" s="12" t="s">
        <v>915</v>
      </c>
      <c r="L676" s="12"/>
      <c r="M676" s="11"/>
      <c r="N676" s="11"/>
      <c r="O676" s="11"/>
      <c r="P676" s="11"/>
    </row>
    <row r="677" spans="1:16" x14ac:dyDescent="0.25">
      <c r="A677" s="694">
        <v>56830</v>
      </c>
      <c r="B677" s="558">
        <v>1000</v>
      </c>
      <c r="C677" s="693">
        <v>100</v>
      </c>
      <c r="D677" s="558">
        <v>1000</v>
      </c>
      <c r="F677" s="11" t="s">
        <v>1342</v>
      </c>
      <c r="G677" s="698">
        <v>-745.84</v>
      </c>
      <c r="H677" s="12" t="s">
        <v>889</v>
      </c>
      <c r="I677" s="12" t="s">
        <v>893</v>
      </c>
      <c r="J677" s="12" t="s">
        <v>894</v>
      </c>
      <c r="K677" s="12" t="s">
        <v>927</v>
      </c>
      <c r="L677" s="12"/>
      <c r="M677" s="11"/>
      <c r="N677" s="11"/>
      <c r="O677" s="11"/>
      <c r="P677" s="11"/>
    </row>
    <row r="678" spans="1:16" x14ac:dyDescent="0.25">
      <c r="A678" s="694">
        <v>56875</v>
      </c>
      <c r="B678" s="558">
        <v>1000</v>
      </c>
      <c r="C678" s="693">
        <v>100</v>
      </c>
      <c r="D678" s="558">
        <v>2500</v>
      </c>
      <c r="F678" s="11" t="s">
        <v>1343</v>
      </c>
      <c r="G678" s="698">
        <v>23614.22</v>
      </c>
      <c r="H678" s="12" t="s">
        <v>889</v>
      </c>
      <c r="I678" s="12" t="s">
        <v>893</v>
      </c>
      <c r="J678" s="12" t="s">
        <v>926</v>
      </c>
      <c r="K678" s="12" t="s">
        <v>927</v>
      </c>
      <c r="L678" s="12"/>
      <c r="M678" s="11"/>
      <c r="N678" s="11"/>
      <c r="O678" s="11"/>
      <c r="P678" s="11"/>
    </row>
    <row r="679" spans="1:16" x14ac:dyDescent="0.25">
      <c r="A679" s="695">
        <v>56890</v>
      </c>
      <c r="B679" s="558">
        <v>1000</v>
      </c>
      <c r="C679" s="693">
        <v>100</v>
      </c>
      <c r="D679" s="558">
        <v>1000</v>
      </c>
      <c r="F679" s="11" t="s">
        <v>1344</v>
      </c>
      <c r="G679" s="698">
        <v>648.09</v>
      </c>
      <c r="H679" s="12" t="s">
        <v>889</v>
      </c>
      <c r="I679" s="12" t="s">
        <v>893</v>
      </c>
      <c r="J679" s="12" t="s">
        <v>894</v>
      </c>
      <c r="K679" s="12" t="s">
        <v>923</v>
      </c>
      <c r="L679" s="12"/>
      <c r="M679" s="11"/>
      <c r="N679" s="11"/>
      <c r="O679" s="11"/>
      <c r="P679" s="11"/>
    </row>
    <row r="680" spans="1:16" x14ac:dyDescent="0.25">
      <c r="A680" s="694">
        <v>56890</v>
      </c>
      <c r="B680" s="558">
        <v>1000</v>
      </c>
      <c r="C680" s="693">
        <v>100</v>
      </c>
      <c r="D680" s="558">
        <v>2500</v>
      </c>
      <c r="F680" s="11" t="s">
        <v>1344</v>
      </c>
      <c r="G680" s="698">
        <v>1501.07</v>
      </c>
      <c r="H680" s="12" t="s">
        <v>889</v>
      </c>
      <c r="I680" s="12" t="s">
        <v>893</v>
      </c>
      <c r="J680" s="12" t="s">
        <v>926</v>
      </c>
      <c r="K680" s="12" t="s">
        <v>923</v>
      </c>
      <c r="L680" s="12"/>
      <c r="M680" s="11"/>
      <c r="N680" s="11"/>
      <c r="O680" s="11"/>
      <c r="P680" s="11"/>
    </row>
    <row r="681" spans="1:16" x14ac:dyDescent="0.25">
      <c r="A681" s="695">
        <v>56910</v>
      </c>
      <c r="B681" s="558">
        <v>1000</v>
      </c>
      <c r="C681" s="693">
        <v>100</v>
      </c>
      <c r="D681" s="558">
        <v>2500</v>
      </c>
      <c r="F681" s="11" t="s">
        <v>1345</v>
      </c>
      <c r="G681" s="698">
        <v>-133859.94</v>
      </c>
      <c r="H681" s="12" t="s">
        <v>889</v>
      </c>
      <c r="I681" s="12" t="s">
        <v>893</v>
      </c>
      <c r="J681" s="12" t="s">
        <v>926</v>
      </c>
      <c r="K681" s="12" t="s">
        <v>931</v>
      </c>
      <c r="L681" s="12"/>
      <c r="M681" s="11"/>
      <c r="N681" s="11"/>
      <c r="O681" s="11"/>
      <c r="P681" s="11"/>
    </row>
    <row r="682" spans="1:16" x14ac:dyDescent="0.25">
      <c r="A682" s="695">
        <v>56910</v>
      </c>
      <c r="B682" s="558">
        <v>1220</v>
      </c>
      <c r="C682" s="693">
        <v>200</v>
      </c>
      <c r="D682" s="558">
        <v>2500</v>
      </c>
      <c r="F682" s="11" t="s">
        <v>1345</v>
      </c>
      <c r="G682" s="698">
        <v>4948.2299999999996</v>
      </c>
      <c r="H682" s="12" t="s">
        <v>932</v>
      </c>
      <c r="I682" s="12" t="s">
        <v>897</v>
      </c>
      <c r="J682" s="12" t="s">
        <v>926</v>
      </c>
      <c r="K682" s="12" t="s">
        <v>931</v>
      </c>
      <c r="L682" s="12"/>
      <c r="M682" s="11"/>
      <c r="N682" s="11"/>
      <c r="O682" s="11"/>
      <c r="P682" s="11"/>
    </row>
    <row r="683" spans="1:16" x14ac:dyDescent="0.25">
      <c r="A683" s="695">
        <v>56910</v>
      </c>
      <c r="B683" s="558">
        <v>1319</v>
      </c>
      <c r="C683" s="693">
        <v>100</v>
      </c>
      <c r="D683" s="558">
        <v>2500</v>
      </c>
      <c r="F683" s="11" t="s">
        <v>1345</v>
      </c>
      <c r="G683" s="698">
        <v>6685.39</v>
      </c>
      <c r="H683" s="12" t="s">
        <v>968</v>
      </c>
      <c r="I683" s="12" t="s">
        <v>893</v>
      </c>
      <c r="J683" s="12" t="s">
        <v>926</v>
      </c>
      <c r="K683" s="12" t="s">
        <v>931</v>
      </c>
      <c r="L683" s="12"/>
      <c r="M683" s="11"/>
      <c r="N683" s="11"/>
      <c r="O683" s="11"/>
      <c r="P683" s="11"/>
    </row>
    <row r="684" spans="1:16" x14ac:dyDescent="0.25">
      <c r="A684" s="695">
        <v>56910</v>
      </c>
      <c r="B684" s="558">
        <v>1321</v>
      </c>
      <c r="C684" s="693">
        <v>100</v>
      </c>
      <c r="D684" s="558">
        <v>2500</v>
      </c>
      <c r="F684" s="11" t="s">
        <v>1345</v>
      </c>
      <c r="G684" s="698">
        <v>106992.51</v>
      </c>
      <c r="H684" s="12" t="s">
        <v>968</v>
      </c>
      <c r="I684" s="12" t="s">
        <v>893</v>
      </c>
      <c r="J684" s="12" t="s">
        <v>926</v>
      </c>
      <c r="K684" s="12" t="s">
        <v>931</v>
      </c>
      <c r="L684" s="12"/>
      <c r="M684" s="11"/>
      <c r="N684" s="11"/>
      <c r="O684" s="11"/>
      <c r="P684" s="11"/>
    </row>
    <row r="685" spans="1:16" x14ac:dyDescent="0.25">
      <c r="A685" s="695">
        <v>56910</v>
      </c>
      <c r="B685" s="558">
        <v>1327</v>
      </c>
      <c r="C685" s="693">
        <v>100</v>
      </c>
      <c r="D685" s="558">
        <v>2500</v>
      </c>
      <c r="F685" s="11" t="s">
        <v>1345</v>
      </c>
      <c r="G685" s="698">
        <v>14.84</v>
      </c>
      <c r="H685" s="12" t="s">
        <v>968</v>
      </c>
      <c r="I685" s="12" t="s">
        <v>893</v>
      </c>
      <c r="J685" s="12" t="s">
        <v>926</v>
      </c>
      <c r="K685" s="12" t="s">
        <v>931</v>
      </c>
      <c r="L685" s="12"/>
      <c r="M685" s="11"/>
      <c r="N685" s="11"/>
      <c r="O685" s="11"/>
      <c r="P685" s="11"/>
    </row>
    <row r="686" spans="1:16" x14ac:dyDescent="0.25">
      <c r="A686" s="695">
        <v>56910</v>
      </c>
      <c r="B686" s="558">
        <v>1329</v>
      </c>
      <c r="C686" s="693">
        <v>200</v>
      </c>
      <c r="D686" s="558">
        <v>2500</v>
      </c>
      <c r="F686" s="11" t="s">
        <v>1345</v>
      </c>
      <c r="G686" s="698">
        <v>370.37</v>
      </c>
      <c r="H686" s="12" t="s">
        <v>968</v>
      </c>
      <c r="I686" s="12" t="s">
        <v>897</v>
      </c>
      <c r="J686" s="12" t="s">
        <v>926</v>
      </c>
      <c r="K686" s="12" t="s">
        <v>931</v>
      </c>
      <c r="L686" s="12"/>
      <c r="M686" s="11"/>
      <c r="N686" s="11"/>
      <c r="O686" s="11"/>
      <c r="P686" s="11"/>
    </row>
    <row r="687" spans="1:16" x14ac:dyDescent="0.25">
      <c r="A687" s="694">
        <v>56910</v>
      </c>
      <c r="B687" s="558" t="s">
        <v>1245</v>
      </c>
      <c r="C687" s="693">
        <v>100</v>
      </c>
      <c r="D687" s="558">
        <v>2500</v>
      </c>
      <c r="F687" s="11" t="s">
        <v>1345</v>
      </c>
      <c r="G687" s="698">
        <v>14839.93</v>
      </c>
      <c r="H687" s="12" t="s">
        <v>904</v>
      </c>
      <c r="I687" s="12" t="s">
        <v>893</v>
      </c>
      <c r="J687" s="12" t="s">
        <v>926</v>
      </c>
      <c r="K687" s="12" t="s">
        <v>931</v>
      </c>
      <c r="L687" s="12"/>
      <c r="M687" s="11"/>
      <c r="N687" s="11"/>
      <c r="O687" s="11"/>
      <c r="P687" s="11"/>
    </row>
    <row r="688" spans="1:16" x14ac:dyDescent="0.25">
      <c r="G688" s="698"/>
      <c r="H688" s="12"/>
      <c r="I688" s="12"/>
      <c r="J688" s="12"/>
      <c r="K688" s="12"/>
      <c r="L688" s="12"/>
      <c r="M688" s="11"/>
      <c r="N688" s="11"/>
      <c r="O688" s="11"/>
      <c r="P688" s="11"/>
    </row>
    <row r="689" spans="7:16" x14ac:dyDescent="0.25">
      <c r="G689" s="698"/>
      <c r="H689" s="12"/>
      <c r="I689" s="12"/>
      <c r="J689" s="12"/>
      <c r="K689" s="12"/>
      <c r="L689" s="12"/>
      <c r="M689" s="11"/>
      <c r="N689" s="11"/>
      <c r="O689" s="11"/>
      <c r="P689" s="11"/>
    </row>
    <row r="690" spans="7:16" x14ac:dyDescent="0.25">
      <c r="G690" s="698"/>
      <c r="H690" s="12"/>
      <c r="I690" s="12"/>
      <c r="J690" s="12"/>
      <c r="K690" s="12"/>
      <c r="L690" s="12"/>
      <c r="M690" s="11"/>
      <c r="N690" s="11"/>
      <c r="O690" s="11"/>
      <c r="P690" s="11"/>
    </row>
    <row r="691" spans="7:16" x14ac:dyDescent="0.25">
      <c r="G691" s="698"/>
      <c r="H691" s="12"/>
      <c r="I691" s="12"/>
      <c r="J691" s="12"/>
      <c r="K691" s="12"/>
      <c r="L691" s="12"/>
      <c r="M691" s="11"/>
      <c r="N691" s="11"/>
      <c r="O691" s="11"/>
      <c r="P691" s="11"/>
    </row>
    <row r="692" spans="7:16" x14ac:dyDescent="0.25">
      <c r="G692" s="698"/>
      <c r="H692" s="12"/>
      <c r="I692" s="12"/>
      <c r="J692" s="12"/>
      <c r="K692" s="12"/>
      <c r="L692" s="12"/>
      <c r="M692" s="11"/>
      <c r="N692" s="11"/>
      <c r="O692" s="11"/>
      <c r="P692" s="11"/>
    </row>
    <row r="693" spans="7:16" x14ac:dyDescent="0.25">
      <c r="G693" s="698"/>
      <c r="H693" s="12"/>
      <c r="I693" s="12"/>
      <c r="J693" s="12"/>
      <c r="K693" s="12"/>
      <c r="L693" s="12"/>
      <c r="M693" s="11"/>
      <c r="N693" s="11"/>
      <c r="O693" s="11"/>
      <c r="P693" s="11"/>
    </row>
    <row r="694" spans="7:16" x14ac:dyDescent="0.25">
      <c r="G694" s="698"/>
      <c r="H694" s="12"/>
      <c r="I694" s="12"/>
      <c r="J694" s="12"/>
      <c r="K694" s="12"/>
      <c r="L694" s="12"/>
      <c r="M694" s="11"/>
      <c r="N694" s="11"/>
      <c r="O694" s="11"/>
      <c r="P694" s="11"/>
    </row>
    <row r="695" spans="7:16" x14ac:dyDescent="0.25">
      <c r="G695" s="698"/>
      <c r="H695" s="12"/>
      <c r="I695" s="12"/>
      <c r="J695" s="12"/>
      <c r="K695" s="12"/>
      <c r="L695" s="12"/>
      <c r="M695" s="11"/>
      <c r="N695" s="11"/>
      <c r="O695" s="11"/>
      <c r="P695" s="11"/>
    </row>
    <row r="696" spans="7:16" x14ac:dyDescent="0.25">
      <c r="G696" s="698"/>
      <c r="H696" s="12"/>
      <c r="I696" s="12"/>
      <c r="J696" s="12"/>
      <c r="K696" s="12"/>
      <c r="L696" s="12"/>
      <c r="M696" s="11"/>
      <c r="N696" s="11"/>
      <c r="O696" s="11"/>
      <c r="P696" s="11"/>
    </row>
    <row r="697" spans="7:16" x14ac:dyDescent="0.25">
      <c r="G697" s="698"/>
      <c r="H697" s="12"/>
      <c r="I697" s="12"/>
      <c r="J697" s="12"/>
      <c r="K697" s="12"/>
      <c r="L697" s="12"/>
      <c r="M697" s="11"/>
      <c r="N697" s="11"/>
      <c r="O697" s="11"/>
      <c r="P697" s="11"/>
    </row>
    <row r="698" spans="7:16" x14ac:dyDescent="0.25">
      <c r="G698" s="698"/>
      <c r="H698" s="12"/>
      <c r="I698" s="12"/>
      <c r="J698" s="12"/>
      <c r="K698" s="12"/>
      <c r="L698" s="12"/>
      <c r="M698" s="11"/>
      <c r="N698" s="11"/>
      <c r="O698" s="11"/>
      <c r="P698" s="11"/>
    </row>
    <row r="699" spans="7:16" x14ac:dyDescent="0.25">
      <c r="G699" s="698"/>
      <c r="H699" s="12"/>
      <c r="I699" s="12"/>
      <c r="J699" s="12"/>
      <c r="K699" s="12"/>
      <c r="L699" s="12"/>
      <c r="M699" s="11"/>
      <c r="N699" s="11"/>
      <c r="O699" s="11"/>
      <c r="P699" s="11"/>
    </row>
    <row r="700" spans="7:16" x14ac:dyDescent="0.25">
      <c r="G700" s="698"/>
      <c r="H700" s="12"/>
      <c r="I700" s="12"/>
      <c r="J700" s="12"/>
      <c r="K700" s="12"/>
      <c r="L700" s="12"/>
      <c r="M700" s="11"/>
      <c r="N700" s="11"/>
      <c r="O700" s="11"/>
      <c r="P700" s="11"/>
    </row>
    <row r="701" spans="7:16" x14ac:dyDescent="0.25">
      <c r="G701" s="698"/>
      <c r="H701" s="12"/>
      <c r="I701" s="12"/>
      <c r="J701" s="12"/>
      <c r="K701" s="12"/>
      <c r="L701" s="12"/>
      <c r="M701" s="11"/>
      <c r="N701" s="11"/>
      <c r="O701" s="11"/>
      <c r="P701" s="11"/>
    </row>
    <row r="702" spans="7:16" x14ac:dyDescent="0.25">
      <c r="G702" s="698"/>
      <c r="H702" s="12"/>
      <c r="I702" s="12"/>
      <c r="J702" s="12"/>
      <c r="K702" s="12"/>
      <c r="L702" s="12"/>
      <c r="M702" s="11"/>
      <c r="N702" s="11"/>
      <c r="O702" s="11"/>
      <c r="P702" s="11"/>
    </row>
    <row r="703" spans="7:16" x14ac:dyDescent="0.25">
      <c r="G703" s="698"/>
      <c r="H703" s="12"/>
      <c r="I703" s="12"/>
      <c r="J703" s="12"/>
      <c r="K703" s="12"/>
      <c r="L703" s="12"/>
      <c r="M703" s="11"/>
      <c r="N703" s="11"/>
      <c r="O703" s="11"/>
      <c r="P703" s="11"/>
    </row>
    <row r="704" spans="7:16" x14ac:dyDescent="0.25">
      <c r="G704" s="698"/>
      <c r="H704" s="12"/>
      <c r="I704" s="12"/>
      <c r="J704" s="12"/>
      <c r="K704" s="12"/>
      <c r="L704" s="12"/>
      <c r="M704" s="11"/>
      <c r="N704" s="11"/>
      <c r="O704" s="11"/>
      <c r="P704" s="11"/>
    </row>
    <row r="705" spans="7:16" x14ac:dyDescent="0.25">
      <c r="G705" s="698"/>
      <c r="H705" s="12"/>
      <c r="I705" s="12"/>
      <c r="J705" s="12"/>
      <c r="K705" s="12"/>
      <c r="L705" s="12"/>
      <c r="M705" s="11"/>
      <c r="N705" s="11"/>
      <c r="O705" s="11"/>
      <c r="P705" s="11"/>
    </row>
    <row r="706" spans="7:16" x14ac:dyDescent="0.25">
      <c r="G706" s="698"/>
      <c r="H706" s="12"/>
      <c r="I706" s="12"/>
      <c r="J706" s="12"/>
      <c r="K706" s="12"/>
      <c r="L706" s="12"/>
      <c r="M706" s="11"/>
      <c r="N706" s="11"/>
      <c r="O706" s="11"/>
      <c r="P706" s="11"/>
    </row>
    <row r="707" spans="7:16" x14ac:dyDescent="0.25">
      <c r="G707" s="698"/>
      <c r="H707" s="12"/>
      <c r="I707" s="12"/>
      <c r="J707" s="12"/>
      <c r="K707" s="12"/>
      <c r="L707" s="12"/>
      <c r="M707" s="11"/>
      <c r="N707" s="11"/>
      <c r="O707" s="11"/>
      <c r="P707" s="11"/>
    </row>
    <row r="708" spans="7:16" x14ac:dyDescent="0.25">
      <c r="G708" s="698"/>
      <c r="H708" s="12"/>
      <c r="I708" s="12"/>
      <c r="J708" s="12"/>
      <c r="K708" s="12"/>
      <c r="L708" s="12"/>
      <c r="M708" s="11"/>
      <c r="N708" s="11"/>
      <c r="O708" s="11"/>
      <c r="P708" s="11"/>
    </row>
    <row r="709" spans="7:16" x14ac:dyDescent="0.25">
      <c r="G709" s="698"/>
      <c r="H709" s="12"/>
      <c r="I709" s="12"/>
      <c r="J709" s="12"/>
      <c r="K709" s="12"/>
      <c r="L709" s="12"/>
      <c r="M709" s="11"/>
      <c r="N709" s="11"/>
      <c r="O709" s="11"/>
      <c r="P709" s="11"/>
    </row>
    <row r="710" spans="7:16" x14ac:dyDescent="0.25">
      <c r="G710" s="698"/>
      <c r="H710" s="12"/>
      <c r="I710" s="12"/>
      <c r="J710" s="12"/>
      <c r="K710" s="12"/>
      <c r="L710" s="12"/>
      <c r="M710" s="11"/>
      <c r="N710" s="11"/>
      <c r="O710" s="11"/>
      <c r="P710" s="11"/>
    </row>
    <row r="711" spans="7:16" x14ac:dyDescent="0.25">
      <c r="G711" s="698"/>
      <c r="H711" s="12"/>
      <c r="I711" s="12"/>
      <c r="J711" s="12"/>
      <c r="K711" s="12"/>
      <c r="L711" s="12"/>
      <c r="M711" s="11"/>
      <c r="N711" s="11"/>
      <c r="O711" s="11"/>
      <c r="P711" s="11"/>
    </row>
    <row r="712" spans="7:16" x14ac:dyDescent="0.25">
      <c r="G712" s="698"/>
      <c r="H712" s="12"/>
      <c r="I712" s="12"/>
      <c r="J712" s="12"/>
      <c r="K712" s="12"/>
      <c r="L712" s="12"/>
      <c r="M712" s="11"/>
      <c r="N712" s="11"/>
      <c r="O712" s="11"/>
      <c r="P712" s="11"/>
    </row>
    <row r="713" spans="7:16" x14ac:dyDescent="0.25">
      <c r="G713" s="698"/>
      <c r="H713" s="12"/>
      <c r="I713" s="12"/>
      <c r="J713" s="12"/>
      <c r="K713" s="12"/>
      <c r="L713" s="12"/>
      <c r="M713" s="11"/>
      <c r="N713" s="11"/>
      <c r="O713" s="11"/>
      <c r="P713" s="11"/>
    </row>
    <row r="714" spans="7:16" x14ac:dyDescent="0.25">
      <c r="G714" s="698"/>
      <c r="H714" s="12"/>
      <c r="I714" s="12"/>
      <c r="J714" s="12"/>
      <c r="K714" s="12"/>
      <c r="L714" s="12"/>
      <c r="M714" s="11"/>
      <c r="N714" s="11"/>
      <c r="O714" s="11"/>
      <c r="P714" s="11"/>
    </row>
    <row r="715" spans="7:16" x14ac:dyDescent="0.25">
      <c r="G715" s="698"/>
      <c r="H715" s="12"/>
      <c r="I715" s="12"/>
      <c r="J715" s="12"/>
      <c r="K715" s="12"/>
      <c r="L715" s="12"/>
      <c r="M715" s="11"/>
      <c r="N715" s="11"/>
      <c r="O715" s="11"/>
      <c r="P715" s="11"/>
    </row>
    <row r="716" spans="7:16" x14ac:dyDescent="0.25">
      <c r="G716" s="698"/>
      <c r="H716" s="12"/>
      <c r="I716" s="12"/>
      <c r="J716" s="12"/>
      <c r="K716" s="12"/>
      <c r="L716" s="12"/>
      <c r="M716" s="11"/>
      <c r="N716" s="11"/>
      <c r="O716" s="11"/>
      <c r="P716" s="11"/>
    </row>
    <row r="717" spans="7:16" x14ac:dyDescent="0.25">
      <c r="G717" s="698"/>
      <c r="H717" s="12"/>
      <c r="I717" s="12"/>
      <c r="J717" s="12"/>
      <c r="K717" s="12"/>
      <c r="L717" s="12"/>
      <c r="M717" s="11"/>
      <c r="N717" s="11"/>
      <c r="O717" s="11"/>
      <c r="P717" s="11"/>
    </row>
    <row r="718" spans="7:16" x14ac:dyDescent="0.25">
      <c r="G718" s="698"/>
      <c r="H718" s="12"/>
      <c r="I718" s="12"/>
      <c r="J718" s="12"/>
      <c r="K718" s="12"/>
      <c r="L718" s="12"/>
      <c r="M718" s="11"/>
      <c r="N718" s="11"/>
      <c r="O718" s="11"/>
      <c r="P718" s="11"/>
    </row>
    <row r="719" spans="7:16" x14ac:dyDescent="0.25">
      <c r="G719" s="698"/>
      <c r="H719" s="12"/>
      <c r="I719" s="12"/>
      <c r="J719" s="12"/>
      <c r="K719" s="12"/>
      <c r="L719" s="12"/>
      <c r="M719" s="11"/>
      <c r="N719" s="11"/>
      <c r="O719" s="11"/>
      <c r="P719" s="11"/>
    </row>
    <row r="720" spans="7:16" x14ac:dyDescent="0.25">
      <c r="G720" s="698"/>
      <c r="H720" s="12"/>
      <c r="I720" s="12"/>
      <c r="J720" s="12"/>
      <c r="K720" s="12"/>
      <c r="L720" s="12"/>
      <c r="M720" s="11"/>
      <c r="N720" s="11"/>
      <c r="O720" s="11"/>
      <c r="P720" s="11"/>
    </row>
    <row r="721" spans="7:16" x14ac:dyDescent="0.25">
      <c r="G721" s="698"/>
      <c r="H721" s="12"/>
      <c r="I721" s="12"/>
      <c r="J721" s="12"/>
      <c r="K721" s="12"/>
      <c r="L721" s="12"/>
      <c r="M721" s="11"/>
      <c r="N721" s="11"/>
      <c r="O721" s="11"/>
      <c r="P721" s="11"/>
    </row>
    <row r="722" spans="7:16" x14ac:dyDescent="0.25">
      <c r="G722" s="698"/>
      <c r="H722" s="12"/>
      <c r="I722" s="12"/>
      <c r="J722" s="12"/>
      <c r="K722" s="12"/>
      <c r="L722" s="12"/>
      <c r="M722" s="11"/>
      <c r="N722" s="11"/>
      <c r="O722" s="11"/>
      <c r="P722" s="11"/>
    </row>
    <row r="723" spans="7:16" x14ac:dyDescent="0.25">
      <c r="G723" s="698"/>
      <c r="H723" s="12"/>
      <c r="I723" s="12"/>
      <c r="J723" s="12"/>
      <c r="K723" s="12"/>
      <c r="L723" s="12"/>
      <c r="M723" s="11"/>
      <c r="N723" s="11"/>
      <c r="O723" s="11"/>
      <c r="P723" s="11"/>
    </row>
    <row r="724" spans="7:16" x14ac:dyDescent="0.25">
      <c r="G724" s="698"/>
      <c r="H724" s="12"/>
      <c r="I724" s="12"/>
      <c r="J724" s="12"/>
      <c r="K724" s="12"/>
      <c r="L724" s="12"/>
      <c r="M724" s="11"/>
      <c r="N724" s="11"/>
      <c r="O724" s="11"/>
      <c r="P724" s="11"/>
    </row>
    <row r="725" spans="7:16" x14ac:dyDescent="0.25">
      <c r="G725" s="698"/>
      <c r="H725" s="12"/>
      <c r="I725" s="12"/>
      <c r="J725" s="12"/>
      <c r="K725" s="12"/>
      <c r="L725" s="12"/>
      <c r="M725" s="11"/>
      <c r="N725" s="11"/>
      <c r="O725" s="11"/>
      <c r="P725" s="11"/>
    </row>
    <row r="726" spans="7:16" x14ac:dyDescent="0.25">
      <c r="G726" s="698"/>
      <c r="H726" s="12"/>
      <c r="I726" s="12"/>
      <c r="J726" s="12"/>
      <c r="K726" s="12"/>
      <c r="L726" s="12"/>
      <c r="M726" s="11"/>
      <c r="N726" s="11"/>
      <c r="O726" s="11"/>
      <c r="P726" s="11"/>
    </row>
    <row r="727" spans="7:16" x14ac:dyDescent="0.25">
      <c r="G727" s="698"/>
      <c r="H727" s="12"/>
      <c r="I727" s="12"/>
      <c r="J727" s="12"/>
      <c r="K727" s="12"/>
      <c r="L727" s="12"/>
      <c r="M727" s="11"/>
      <c r="N727" s="11"/>
      <c r="O727" s="11"/>
      <c r="P727" s="11"/>
    </row>
    <row r="728" spans="7:16" x14ac:dyDescent="0.25">
      <c r="G728" s="698"/>
      <c r="H728" s="12"/>
      <c r="I728" s="12"/>
      <c r="J728" s="12"/>
      <c r="K728" s="12"/>
      <c r="L728" s="12"/>
      <c r="M728" s="11"/>
      <c r="N728" s="11"/>
      <c r="O728" s="11"/>
      <c r="P728" s="11"/>
    </row>
    <row r="729" spans="7:16" x14ac:dyDescent="0.25">
      <c r="G729" s="698"/>
      <c r="H729" s="12"/>
      <c r="I729" s="12"/>
      <c r="J729" s="12"/>
      <c r="K729" s="12"/>
      <c r="L729" s="12"/>
      <c r="M729" s="11"/>
      <c r="N729" s="11"/>
      <c r="O729" s="11"/>
      <c r="P729" s="11"/>
    </row>
    <row r="730" spans="7:16" x14ac:dyDescent="0.25">
      <c r="G730" s="698"/>
      <c r="H730" s="12"/>
      <c r="I730" s="12"/>
      <c r="J730" s="12"/>
      <c r="K730" s="12"/>
      <c r="L730" s="12"/>
      <c r="M730" s="11"/>
      <c r="N730" s="11"/>
      <c r="O730" s="11"/>
      <c r="P730" s="11"/>
    </row>
    <row r="731" spans="7:16" x14ac:dyDescent="0.25">
      <c r="G731" s="698"/>
      <c r="H731" s="12"/>
      <c r="I731" s="12"/>
      <c r="J731" s="12"/>
      <c r="K731" s="12"/>
      <c r="L731" s="12"/>
      <c r="M731" s="11"/>
      <c r="N731" s="11"/>
      <c r="O731" s="11"/>
      <c r="P731" s="11"/>
    </row>
    <row r="732" spans="7:16" x14ac:dyDescent="0.25">
      <c r="G732" s="698"/>
      <c r="H732" s="12"/>
      <c r="I732" s="12"/>
      <c r="J732" s="12"/>
      <c r="K732" s="12"/>
      <c r="L732" s="12"/>
      <c r="M732" s="11"/>
      <c r="N732" s="11"/>
      <c r="O732" s="11"/>
      <c r="P732" s="11"/>
    </row>
    <row r="733" spans="7:16" x14ac:dyDescent="0.25">
      <c r="G733" s="698"/>
      <c r="H733" s="12"/>
      <c r="I733" s="12"/>
      <c r="J733" s="12"/>
      <c r="K733" s="12"/>
      <c r="L733" s="12"/>
      <c r="M733" s="11"/>
      <c r="N733" s="11"/>
      <c r="O733" s="11"/>
      <c r="P733" s="11"/>
    </row>
    <row r="734" spans="7:16" x14ac:dyDescent="0.25">
      <c r="G734" s="698"/>
      <c r="H734" s="12"/>
      <c r="I734" s="12"/>
      <c r="J734" s="12"/>
      <c r="K734" s="12"/>
      <c r="L734" s="12"/>
      <c r="M734" s="11"/>
      <c r="N734" s="11"/>
      <c r="O734" s="11"/>
      <c r="P734" s="11"/>
    </row>
    <row r="735" spans="7:16" x14ac:dyDescent="0.25">
      <c r="G735" s="698"/>
      <c r="H735" s="12"/>
      <c r="I735" s="12"/>
      <c r="J735" s="12"/>
      <c r="K735" s="12"/>
      <c r="L735" s="12"/>
      <c r="M735" s="11"/>
      <c r="N735" s="11"/>
      <c r="O735" s="11"/>
      <c r="P735" s="11"/>
    </row>
    <row r="736" spans="7:16" x14ac:dyDescent="0.25">
      <c r="G736" s="698"/>
      <c r="H736" s="12"/>
      <c r="I736" s="12"/>
      <c r="J736" s="12"/>
      <c r="K736" s="12"/>
      <c r="L736" s="12"/>
      <c r="M736" s="11"/>
      <c r="N736" s="11"/>
      <c r="O736" s="11"/>
      <c r="P736" s="11"/>
    </row>
    <row r="737" spans="7:16" x14ac:dyDescent="0.25">
      <c r="G737" s="698"/>
      <c r="H737" s="12"/>
      <c r="I737" s="12"/>
      <c r="J737" s="12"/>
      <c r="K737" s="12"/>
      <c r="L737" s="12"/>
      <c r="M737" s="11"/>
      <c r="N737" s="11"/>
      <c r="O737" s="11"/>
      <c r="P737" s="11"/>
    </row>
    <row r="738" spans="7:16" x14ac:dyDescent="0.25">
      <c r="G738" s="698"/>
      <c r="H738" s="12"/>
      <c r="I738" s="12"/>
      <c r="J738" s="12"/>
      <c r="K738" s="12"/>
      <c r="L738" s="12"/>
      <c r="M738" s="11"/>
      <c r="N738" s="11"/>
      <c r="O738" s="11"/>
      <c r="P738" s="11"/>
    </row>
    <row r="739" spans="7:16" x14ac:dyDescent="0.25">
      <c r="G739" s="698"/>
      <c r="H739" s="12"/>
      <c r="I739" s="12"/>
      <c r="J739" s="12"/>
      <c r="K739" s="12"/>
      <c r="L739" s="12"/>
      <c r="M739" s="11"/>
      <c r="N739" s="11"/>
      <c r="O739" s="11"/>
      <c r="P739" s="11"/>
    </row>
    <row r="740" spans="7:16" x14ac:dyDescent="0.25">
      <c r="G740" s="698"/>
      <c r="H740" s="12"/>
      <c r="I740" s="12"/>
      <c r="J740" s="12"/>
      <c r="K740" s="12"/>
      <c r="L740" s="12"/>
      <c r="M740" s="11"/>
      <c r="N740" s="11"/>
      <c r="O740" s="11"/>
      <c r="P740" s="11"/>
    </row>
    <row r="741" spans="7:16" x14ac:dyDescent="0.25">
      <c r="G741" s="698"/>
      <c r="H741" s="12"/>
      <c r="I741" s="12"/>
      <c r="J741" s="12"/>
      <c r="K741" s="12"/>
      <c r="L741" s="12"/>
      <c r="M741" s="11"/>
      <c r="N741" s="11"/>
      <c r="O741" s="11"/>
      <c r="P741" s="11"/>
    </row>
    <row r="742" spans="7:16" x14ac:dyDescent="0.25">
      <c r="G742" s="698"/>
      <c r="H742" s="12"/>
      <c r="I742" s="12"/>
      <c r="J742" s="12"/>
      <c r="K742" s="12"/>
      <c r="L742" s="12"/>
      <c r="M742" s="11"/>
      <c r="N742" s="11"/>
      <c r="O742" s="11"/>
      <c r="P742" s="11"/>
    </row>
    <row r="743" spans="7:16" x14ac:dyDescent="0.25">
      <c r="G743" s="698"/>
      <c r="H743" s="12"/>
      <c r="I743" s="12"/>
      <c r="J743" s="12"/>
      <c r="K743" s="12"/>
      <c r="L743" s="12"/>
      <c r="M743" s="11"/>
      <c r="N743" s="11"/>
      <c r="O743" s="11"/>
      <c r="P743" s="11"/>
    </row>
    <row r="744" spans="7:16" x14ac:dyDescent="0.25">
      <c r="G744" s="698"/>
      <c r="H744" s="12"/>
      <c r="I744" s="12"/>
      <c r="J744" s="12"/>
      <c r="K744" s="12"/>
      <c r="L744" s="12"/>
      <c r="M744" s="11"/>
      <c r="N744" s="11"/>
      <c r="O744" s="11"/>
      <c r="P744" s="11"/>
    </row>
    <row r="745" spans="7:16" x14ac:dyDescent="0.25">
      <c r="G745" s="698"/>
      <c r="H745" s="12"/>
      <c r="I745" s="12"/>
      <c r="J745" s="12"/>
      <c r="K745" s="12"/>
      <c r="L745" s="12"/>
      <c r="M745" s="11"/>
      <c r="N745" s="11"/>
      <c r="O745" s="11"/>
      <c r="P745" s="11"/>
    </row>
    <row r="746" spans="7:16" x14ac:dyDescent="0.25">
      <c r="G746" s="698"/>
      <c r="H746" s="12"/>
      <c r="I746" s="12"/>
      <c r="J746" s="12"/>
      <c r="K746" s="12"/>
      <c r="L746" s="12"/>
      <c r="M746" s="11"/>
      <c r="N746" s="11"/>
      <c r="O746" s="11"/>
      <c r="P746" s="11"/>
    </row>
    <row r="747" spans="7:16" x14ac:dyDescent="0.25">
      <c r="G747" s="698"/>
      <c r="H747" s="12"/>
      <c r="I747" s="12"/>
      <c r="J747" s="12"/>
      <c r="K747" s="12"/>
      <c r="L747" s="12"/>
      <c r="M747" s="11"/>
      <c r="N747" s="11"/>
      <c r="O747" s="11"/>
      <c r="P747" s="11"/>
    </row>
    <row r="748" spans="7:16" x14ac:dyDescent="0.25">
      <c r="G748" s="698"/>
      <c r="H748" s="12"/>
      <c r="I748" s="12"/>
      <c r="J748" s="12"/>
      <c r="K748" s="12"/>
      <c r="L748" s="12"/>
      <c r="M748" s="11"/>
      <c r="N748" s="11"/>
      <c r="O748" s="11"/>
      <c r="P748" s="11"/>
    </row>
    <row r="749" spans="7:16" x14ac:dyDescent="0.25">
      <c r="G749" s="698"/>
      <c r="H749" s="12"/>
      <c r="I749" s="12"/>
      <c r="J749" s="12"/>
      <c r="K749" s="12"/>
      <c r="L749" s="12"/>
      <c r="M749" s="11"/>
      <c r="N749" s="11"/>
      <c r="O749" s="11"/>
      <c r="P749" s="11"/>
    </row>
    <row r="750" spans="7:16" x14ac:dyDescent="0.25">
      <c r="G750" s="698"/>
      <c r="H750" s="12"/>
      <c r="I750" s="12"/>
      <c r="J750" s="12"/>
      <c r="K750" s="12"/>
      <c r="L750" s="12"/>
      <c r="M750" s="11"/>
      <c r="N750" s="11"/>
      <c r="O750" s="11"/>
      <c r="P750" s="11"/>
    </row>
    <row r="751" spans="7:16" x14ac:dyDescent="0.25">
      <c r="G751" s="698"/>
      <c r="H751" s="12"/>
      <c r="I751" s="12"/>
      <c r="J751" s="12"/>
      <c r="K751" s="12"/>
      <c r="L751" s="12"/>
      <c r="M751" s="11"/>
      <c r="N751" s="11"/>
      <c r="O751" s="11"/>
      <c r="P751" s="11"/>
    </row>
    <row r="752" spans="7:16" x14ac:dyDescent="0.25">
      <c r="G752" s="698"/>
      <c r="H752" s="12"/>
      <c r="I752" s="12"/>
      <c r="J752" s="12"/>
      <c r="K752" s="12"/>
      <c r="L752" s="12"/>
      <c r="M752" s="11"/>
      <c r="N752" s="11"/>
      <c r="O752" s="11"/>
      <c r="P752" s="11"/>
    </row>
    <row r="753" spans="7:16" x14ac:dyDescent="0.25">
      <c r="G753" s="698"/>
      <c r="H753" s="12"/>
      <c r="I753" s="12"/>
      <c r="J753" s="12"/>
      <c r="K753" s="12"/>
      <c r="L753" s="12"/>
      <c r="M753" s="11"/>
      <c r="N753" s="11"/>
      <c r="O753" s="11"/>
      <c r="P753" s="11"/>
    </row>
    <row r="754" spans="7:16" x14ac:dyDescent="0.25">
      <c r="G754" s="698"/>
      <c r="H754" s="12"/>
      <c r="I754" s="12"/>
      <c r="J754" s="12"/>
      <c r="K754" s="12"/>
      <c r="L754" s="12"/>
      <c r="M754" s="11"/>
      <c r="N754" s="11"/>
      <c r="O754" s="11"/>
      <c r="P754" s="11"/>
    </row>
    <row r="755" spans="7:16" x14ac:dyDescent="0.25">
      <c r="G755" s="698"/>
      <c r="H755" s="12"/>
      <c r="I755" s="12"/>
      <c r="J755" s="12"/>
      <c r="K755" s="12"/>
      <c r="L755" s="12"/>
      <c r="M755" s="11"/>
      <c r="N755" s="11"/>
      <c r="O755" s="11"/>
      <c r="P755" s="11"/>
    </row>
    <row r="756" spans="7:16" x14ac:dyDescent="0.25">
      <c r="G756" s="698"/>
      <c r="H756" s="12"/>
      <c r="I756" s="12"/>
      <c r="J756" s="12"/>
      <c r="K756" s="12"/>
      <c r="L756" s="12"/>
      <c r="M756" s="11"/>
      <c r="N756" s="11"/>
      <c r="O756" s="11"/>
      <c r="P756" s="11"/>
    </row>
    <row r="757" spans="7:16" x14ac:dyDescent="0.25">
      <c r="G757" s="698"/>
      <c r="H757" s="12"/>
      <c r="I757" s="12"/>
      <c r="J757" s="12"/>
      <c r="K757" s="12"/>
      <c r="L757" s="12"/>
      <c r="M757" s="11"/>
      <c r="N757" s="11"/>
      <c r="O757" s="11"/>
      <c r="P757" s="11"/>
    </row>
    <row r="758" spans="7:16" x14ac:dyDescent="0.25">
      <c r="G758" s="698"/>
      <c r="H758" s="12"/>
      <c r="I758" s="12"/>
      <c r="J758" s="12"/>
      <c r="K758" s="12"/>
      <c r="L758" s="12"/>
      <c r="M758" s="11"/>
      <c r="N758" s="11"/>
      <c r="O758" s="11"/>
      <c r="P758" s="11"/>
    </row>
    <row r="759" spans="7:16" x14ac:dyDescent="0.25">
      <c r="G759" s="698"/>
      <c r="H759" s="12"/>
      <c r="I759" s="12"/>
      <c r="J759" s="12"/>
      <c r="K759" s="12"/>
      <c r="L759" s="12"/>
      <c r="M759" s="11"/>
      <c r="N759" s="11"/>
      <c r="O759" s="11"/>
      <c r="P759" s="11"/>
    </row>
    <row r="760" spans="7:16" x14ac:dyDescent="0.25">
      <c r="G760" s="698"/>
      <c r="H760" s="12"/>
      <c r="I760" s="12"/>
      <c r="J760" s="12"/>
      <c r="K760" s="12"/>
      <c r="L760" s="12"/>
      <c r="M760" s="11"/>
      <c r="N760" s="11"/>
      <c r="O760" s="11"/>
      <c r="P760" s="11"/>
    </row>
    <row r="761" spans="7:16" x14ac:dyDescent="0.25">
      <c r="G761" s="698"/>
      <c r="H761" s="12"/>
      <c r="I761" s="12"/>
      <c r="J761" s="12"/>
      <c r="K761" s="12"/>
      <c r="L761" s="12"/>
      <c r="M761" s="11"/>
      <c r="N761" s="11"/>
      <c r="O761" s="11"/>
      <c r="P761" s="11"/>
    </row>
    <row r="762" spans="7:16" x14ac:dyDescent="0.25">
      <c r="G762" s="698"/>
      <c r="H762" s="12"/>
      <c r="I762" s="12"/>
      <c r="J762" s="12"/>
      <c r="K762" s="12"/>
      <c r="L762" s="12"/>
      <c r="M762" s="11"/>
      <c r="N762" s="11"/>
      <c r="O762" s="11"/>
      <c r="P762" s="11"/>
    </row>
    <row r="763" spans="7:16" x14ac:dyDescent="0.25">
      <c r="G763" s="698"/>
      <c r="H763" s="12"/>
      <c r="I763" s="12"/>
      <c r="J763" s="12"/>
      <c r="K763" s="12"/>
      <c r="L763" s="12"/>
      <c r="M763" s="11"/>
      <c r="N763" s="11"/>
      <c r="O763" s="11"/>
      <c r="P763" s="11"/>
    </row>
    <row r="764" spans="7:16" x14ac:dyDescent="0.25">
      <c r="G764" s="698"/>
      <c r="H764" s="12"/>
      <c r="I764" s="12"/>
      <c r="J764" s="12"/>
      <c r="K764" s="12"/>
      <c r="L764" s="12"/>
      <c r="M764" s="11"/>
      <c r="N764" s="11"/>
      <c r="O764" s="11"/>
      <c r="P764" s="11"/>
    </row>
    <row r="765" spans="7:16" x14ac:dyDescent="0.25">
      <c r="G765" s="698"/>
      <c r="H765" s="12"/>
      <c r="I765" s="12"/>
      <c r="J765" s="12"/>
      <c r="K765" s="12"/>
      <c r="L765" s="12"/>
      <c r="M765" s="11"/>
      <c r="N765" s="11"/>
      <c r="O765" s="11"/>
      <c r="P765" s="11"/>
    </row>
    <row r="766" spans="7:16" x14ac:dyDescent="0.25">
      <c r="G766" s="698"/>
      <c r="H766" s="12"/>
      <c r="I766" s="12"/>
      <c r="J766" s="12"/>
      <c r="K766" s="12"/>
      <c r="L766" s="12"/>
      <c r="M766" s="11"/>
      <c r="N766" s="11"/>
      <c r="O766" s="11"/>
      <c r="P766" s="11"/>
    </row>
    <row r="767" spans="7:16" x14ac:dyDescent="0.25">
      <c r="G767" s="698"/>
      <c r="H767" s="12"/>
      <c r="I767" s="12"/>
      <c r="J767" s="12"/>
      <c r="K767" s="12"/>
      <c r="L767" s="12"/>
      <c r="M767" s="11"/>
      <c r="N767" s="11"/>
      <c r="O767" s="11"/>
      <c r="P767" s="11"/>
    </row>
    <row r="768" spans="7:16" x14ac:dyDescent="0.25">
      <c r="G768" s="698"/>
      <c r="H768" s="12"/>
      <c r="I768" s="12"/>
      <c r="J768" s="12"/>
      <c r="K768" s="12"/>
      <c r="L768" s="12"/>
      <c r="M768" s="11"/>
      <c r="N768" s="11"/>
      <c r="O768" s="11"/>
      <c r="P768" s="11"/>
    </row>
    <row r="769" spans="7:16" x14ac:dyDescent="0.25">
      <c r="G769" s="698"/>
      <c r="H769" s="12"/>
      <c r="I769" s="12"/>
      <c r="J769" s="12"/>
      <c r="K769" s="12"/>
      <c r="L769" s="12"/>
      <c r="M769" s="11"/>
      <c r="N769" s="11"/>
      <c r="O769" s="11"/>
      <c r="P769" s="11"/>
    </row>
    <row r="770" spans="7:16" x14ac:dyDescent="0.25">
      <c r="G770" s="698"/>
      <c r="H770" s="12"/>
      <c r="I770" s="12"/>
      <c r="J770" s="12"/>
      <c r="K770" s="12"/>
      <c r="L770" s="12"/>
      <c r="M770" s="11"/>
      <c r="N770" s="11"/>
      <c r="O770" s="11"/>
      <c r="P770" s="11"/>
    </row>
    <row r="771" spans="7:16" x14ac:dyDescent="0.25">
      <c r="G771" s="698"/>
      <c r="H771" s="12"/>
      <c r="I771" s="12"/>
      <c r="J771" s="12"/>
      <c r="K771" s="12"/>
      <c r="L771" s="12"/>
      <c r="M771" s="11"/>
      <c r="N771" s="11"/>
      <c r="O771" s="11"/>
      <c r="P771" s="11"/>
    </row>
    <row r="772" spans="7:16" x14ac:dyDescent="0.25">
      <c r="G772" s="698"/>
      <c r="H772" s="12"/>
      <c r="I772" s="12"/>
      <c r="J772" s="12"/>
      <c r="K772" s="12"/>
      <c r="L772" s="12"/>
      <c r="M772" s="11"/>
      <c r="N772" s="11"/>
      <c r="O772" s="11"/>
      <c r="P772" s="11"/>
    </row>
    <row r="773" spans="7:16" x14ac:dyDescent="0.25">
      <c r="G773" s="698"/>
      <c r="H773" s="12"/>
      <c r="I773" s="12"/>
      <c r="J773" s="12"/>
      <c r="K773" s="12"/>
      <c r="L773" s="12"/>
      <c r="M773" s="11"/>
      <c r="N773" s="11"/>
      <c r="O773" s="11"/>
      <c r="P773" s="11"/>
    </row>
    <row r="774" spans="7:16" x14ac:dyDescent="0.25">
      <c r="G774" s="698"/>
      <c r="H774" s="12"/>
      <c r="I774" s="12"/>
      <c r="J774" s="12"/>
      <c r="K774" s="12"/>
      <c r="L774" s="12"/>
      <c r="M774" s="11"/>
      <c r="N774" s="11"/>
      <c r="O774" s="11"/>
      <c r="P774" s="11"/>
    </row>
    <row r="775" spans="7:16" x14ac:dyDescent="0.25">
      <c r="G775" s="698"/>
      <c r="H775" s="12"/>
      <c r="I775" s="12"/>
      <c r="J775" s="12"/>
      <c r="K775" s="12"/>
      <c r="L775" s="12"/>
      <c r="M775" s="11"/>
      <c r="N775" s="11"/>
      <c r="O775" s="11"/>
      <c r="P775" s="11"/>
    </row>
    <row r="776" spans="7:16" x14ac:dyDescent="0.25">
      <c r="G776" s="698"/>
      <c r="H776" s="12"/>
      <c r="I776" s="12"/>
      <c r="J776" s="12"/>
      <c r="K776" s="12"/>
      <c r="L776" s="12"/>
      <c r="M776" s="11"/>
      <c r="N776" s="11"/>
      <c r="O776" s="11"/>
      <c r="P776" s="11"/>
    </row>
    <row r="777" spans="7:16" x14ac:dyDescent="0.25">
      <c r="G777" s="698"/>
      <c r="H777" s="12"/>
      <c r="I777" s="12"/>
      <c r="J777" s="12"/>
      <c r="K777" s="12"/>
      <c r="L777" s="12"/>
      <c r="M777" s="11"/>
      <c r="N777" s="11"/>
      <c r="O777" s="11"/>
      <c r="P777" s="11"/>
    </row>
    <row r="778" spans="7:16" x14ac:dyDescent="0.25">
      <c r="G778" s="698"/>
      <c r="H778" s="12"/>
      <c r="I778" s="12"/>
      <c r="J778" s="12"/>
      <c r="K778" s="12"/>
      <c r="L778" s="12"/>
      <c r="M778" s="11"/>
      <c r="N778" s="11"/>
      <c r="O778" s="11"/>
      <c r="P778" s="11"/>
    </row>
    <row r="779" spans="7:16" x14ac:dyDescent="0.25">
      <c r="G779" s="698"/>
      <c r="H779" s="12"/>
      <c r="I779" s="12"/>
      <c r="J779" s="12"/>
      <c r="K779" s="12"/>
      <c r="L779" s="12"/>
      <c r="M779" s="11"/>
      <c r="N779" s="11"/>
      <c r="O779" s="11"/>
      <c r="P779" s="11"/>
    </row>
    <row r="780" spans="7:16" x14ac:dyDescent="0.25">
      <c r="G780" s="698"/>
      <c r="H780" s="12"/>
      <c r="I780" s="12"/>
      <c r="J780" s="12"/>
      <c r="K780" s="12"/>
      <c r="L780" s="12"/>
      <c r="M780" s="11"/>
      <c r="N780" s="11"/>
      <c r="O780" s="11"/>
      <c r="P780" s="11"/>
    </row>
    <row r="781" spans="7:16" x14ac:dyDescent="0.25">
      <c r="G781" s="698"/>
      <c r="H781" s="12"/>
      <c r="I781" s="12"/>
      <c r="J781" s="12"/>
      <c r="K781" s="12"/>
      <c r="L781" s="12"/>
      <c r="M781" s="11"/>
      <c r="N781" s="11"/>
      <c r="O781" s="11"/>
      <c r="P781" s="11"/>
    </row>
    <row r="782" spans="7:16" x14ac:dyDescent="0.25">
      <c r="G782" s="698"/>
      <c r="H782" s="12"/>
      <c r="I782" s="12"/>
      <c r="J782" s="12"/>
      <c r="K782" s="12"/>
      <c r="L782" s="12"/>
      <c r="M782" s="11"/>
      <c r="N782" s="11"/>
      <c r="O782" s="11"/>
      <c r="P782" s="11"/>
    </row>
    <row r="783" spans="7:16" x14ac:dyDescent="0.25">
      <c r="G783" s="698"/>
      <c r="H783" s="12"/>
      <c r="I783" s="12"/>
      <c r="J783" s="12"/>
      <c r="K783" s="12"/>
      <c r="L783" s="12"/>
      <c r="M783" s="11"/>
      <c r="N783" s="11"/>
      <c r="O783" s="11"/>
      <c r="P783" s="11"/>
    </row>
    <row r="784" spans="7:16" x14ac:dyDescent="0.25">
      <c r="G784" s="698"/>
      <c r="H784" s="12"/>
      <c r="I784" s="12"/>
      <c r="J784" s="12"/>
      <c r="K784" s="12"/>
      <c r="L784" s="12"/>
      <c r="M784" s="11"/>
      <c r="N784" s="11"/>
      <c r="O784" s="11"/>
      <c r="P784" s="11"/>
    </row>
    <row r="785" spans="7:16" x14ac:dyDescent="0.25">
      <c r="G785" s="698"/>
      <c r="H785" s="12"/>
      <c r="I785" s="12"/>
      <c r="J785" s="12"/>
      <c r="K785" s="12"/>
      <c r="L785" s="12"/>
      <c r="M785" s="11"/>
      <c r="N785" s="11"/>
      <c r="O785" s="11"/>
      <c r="P785" s="11"/>
    </row>
    <row r="786" spans="7:16" x14ac:dyDescent="0.25">
      <c r="G786" s="698"/>
      <c r="H786" s="12"/>
      <c r="I786" s="12"/>
      <c r="J786" s="12"/>
      <c r="K786" s="12"/>
      <c r="L786" s="12"/>
      <c r="M786" s="11"/>
      <c r="N786" s="11"/>
      <c r="O786" s="11"/>
      <c r="P786" s="11"/>
    </row>
    <row r="787" spans="7:16" x14ac:dyDescent="0.25">
      <c r="G787" s="698"/>
      <c r="H787" s="12"/>
      <c r="I787" s="12"/>
      <c r="J787" s="12"/>
      <c r="K787" s="12"/>
      <c r="L787" s="12"/>
      <c r="M787" s="11"/>
      <c r="N787" s="11"/>
      <c r="O787" s="11"/>
      <c r="P787" s="11"/>
    </row>
    <row r="788" spans="7:16" x14ac:dyDescent="0.25">
      <c r="G788" s="698"/>
      <c r="H788" s="12"/>
      <c r="I788" s="12"/>
      <c r="J788" s="12"/>
      <c r="K788" s="12"/>
      <c r="L788" s="12"/>
      <c r="M788" s="11"/>
      <c r="N788" s="11"/>
      <c r="O788" s="11"/>
      <c r="P788" s="11"/>
    </row>
    <row r="789" spans="7:16" x14ac:dyDescent="0.25">
      <c r="G789" s="698"/>
      <c r="H789" s="12"/>
      <c r="I789" s="12"/>
      <c r="J789" s="12"/>
      <c r="K789" s="12"/>
      <c r="L789" s="12"/>
      <c r="M789" s="11"/>
      <c r="N789" s="11"/>
      <c r="O789" s="11"/>
      <c r="P789" s="11"/>
    </row>
    <row r="790" spans="7:16" x14ac:dyDescent="0.25">
      <c r="G790" s="698"/>
      <c r="H790" s="12"/>
      <c r="I790" s="12"/>
      <c r="J790" s="12"/>
      <c r="K790" s="12"/>
      <c r="L790" s="12"/>
      <c r="M790" s="11"/>
      <c r="N790" s="11"/>
      <c r="O790" s="11"/>
      <c r="P790" s="11"/>
    </row>
    <row r="791" spans="7:16" x14ac:dyDescent="0.25">
      <c r="G791" s="698"/>
      <c r="H791" s="12"/>
      <c r="I791" s="12"/>
      <c r="J791" s="12"/>
      <c r="K791" s="12"/>
      <c r="L791" s="12"/>
      <c r="M791" s="11"/>
      <c r="N791" s="11"/>
      <c r="O791" s="11"/>
      <c r="P791" s="11"/>
    </row>
    <row r="792" spans="7:16" x14ac:dyDescent="0.25">
      <c r="G792" s="698"/>
      <c r="H792" s="12"/>
      <c r="I792" s="12"/>
      <c r="J792" s="12"/>
      <c r="K792" s="12"/>
      <c r="L792" s="12"/>
      <c r="M792" s="11"/>
      <c r="N792" s="11"/>
      <c r="O792" s="11"/>
      <c r="P792" s="11"/>
    </row>
    <row r="793" spans="7:16" x14ac:dyDescent="0.25">
      <c r="G793" s="698"/>
      <c r="H793" s="12"/>
      <c r="I793" s="12"/>
      <c r="J793" s="12"/>
      <c r="K793" s="12"/>
      <c r="L793" s="12"/>
      <c r="M793" s="11"/>
      <c r="N793" s="11"/>
      <c r="O793" s="11"/>
      <c r="P793" s="11"/>
    </row>
    <row r="794" spans="7:16" x14ac:dyDescent="0.25">
      <c r="G794" s="698"/>
      <c r="H794" s="12"/>
      <c r="I794" s="12"/>
      <c r="J794" s="12"/>
      <c r="K794" s="12"/>
      <c r="L794" s="12"/>
      <c r="M794" s="11"/>
      <c r="N794" s="11"/>
      <c r="O794" s="11"/>
      <c r="P794" s="11"/>
    </row>
    <row r="795" spans="7:16" x14ac:dyDescent="0.25">
      <c r="G795" s="698"/>
      <c r="H795" s="12"/>
      <c r="I795" s="12"/>
      <c r="J795" s="12"/>
      <c r="K795" s="12"/>
      <c r="L795" s="12"/>
      <c r="M795" s="11"/>
      <c r="N795" s="11"/>
      <c r="O795" s="11"/>
      <c r="P795" s="11"/>
    </row>
    <row r="796" spans="7:16" x14ac:dyDescent="0.25">
      <c r="G796" s="698"/>
      <c r="H796" s="12"/>
      <c r="I796" s="12"/>
      <c r="J796" s="12"/>
      <c r="K796" s="12"/>
      <c r="L796" s="12"/>
      <c r="M796" s="11"/>
      <c r="N796" s="11"/>
      <c r="O796" s="11"/>
      <c r="P796" s="11"/>
    </row>
    <row r="797" spans="7:16" x14ac:dyDescent="0.25">
      <c r="G797" s="698"/>
      <c r="H797" s="12"/>
      <c r="I797" s="12"/>
      <c r="J797" s="12"/>
      <c r="K797" s="12"/>
      <c r="L797" s="12"/>
      <c r="M797" s="11"/>
      <c r="N797" s="11"/>
      <c r="O797" s="11"/>
      <c r="P797" s="11"/>
    </row>
    <row r="798" spans="7:16" x14ac:dyDescent="0.25">
      <c r="G798" s="698"/>
      <c r="H798" s="12"/>
      <c r="I798" s="12"/>
      <c r="J798" s="12"/>
      <c r="K798" s="12"/>
      <c r="L798" s="12"/>
      <c r="M798" s="11"/>
      <c r="N798" s="11"/>
      <c r="O798" s="11"/>
      <c r="P798" s="11"/>
    </row>
    <row r="799" spans="7:16" x14ac:dyDescent="0.25">
      <c r="G799" s="698"/>
      <c r="H799" s="12"/>
      <c r="I799" s="12"/>
      <c r="J799" s="12"/>
      <c r="K799" s="12"/>
      <c r="L799" s="12"/>
      <c r="M799" s="11"/>
      <c r="N799" s="11"/>
      <c r="O799" s="11"/>
      <c r="P799" s="11"/>
    </row>
    <row r="800" spans="7:16" x14ac:dyDescent="0.25">
      <c r="G800" s="698"/>
      <c r="H800" s="12"/>
      <c r="I800" s="12"/>
      <c r="J800" s="12"/>
      <c r="K800" s="12"/>
      <c r="L800" s="12"/>
      <c r="M800" s="11"/>
      <c r="N800" s="11"/>
      <c r="O800" s="11"/>
      <c r="P800" s="11"/>
    </row>
    <row r="801" spans="7:16" x14ac:dyDescent="0.25">
      <c r="G801" s="698"/>
      <c r="H801" s="12"/>
      <c r="I801" s="12"/>
      <c r="J801" s="12"/>
      <c r="K801" s="12"/>
      <c r="L801" s="12"/>
      <c r="M801" s="11"/>
      <c r="N801" s="11"/>
      <c r="O801" s="11"/>
      <c r="P801" s="11"/>
    </row>
    <row r="802" spans="7:16" x14ac:dyDescent="0.25">
      <c r="G802" s="698"/>
      <c r="H802" s="12"/>
      <c r="I802" s="12"/>
      <c r="J802" s="12"/>
      <c r="K802" s="12"/>
      <c r="L802" s="12"/>
      <c r="M802" s="11"/>
      <c r="N802" s="11"/>
      <c r="O802" s="11"/>
      <c r="P802" s="11"/>
    </row>
    <row r="803" spans="7:16" x14ac:dyDescent="0.25">
      <c r="G803" s="698"/>
      <c r="H803" s="12"/>
      <c r="I803" s="12"/>
      <c r="J803" s="12"/>
      <c r="K803" s="12"/>
      <c r="L803" s="12"/>
      <c r="M803" s="11"/>
      <c r="N803" s="11"/>
      <c r="O803" s="11"/>
      <c r="P803" s="11"/>
    </row>
    <row r="804" spans="7:16" x14ac:dyDescent="0.25">
      <c r="G804" s="698"/>
      <c r="H804" s="12"/>
      <c r="I804" s="12"/>
      <c r="J804" s="12"/>
      <c r="K804" s="12"/>
      <c r="L804" s="12"/>
      <c r="M804" s="11"/>
      <c r="N804" s="11"/>
      <c r="O804" s="11"/>
      <c r="P804" s="11"/>
    </row>
    <row r="805" spans="7:16" x14ac:dyDescent="0.25">
      <c r="G805" s="698"/>
      <c r="H805" s="12"/>
      <c r="I805" s="12"/>
      <c r="J805" s="12"/>
      <c r="K805" s="12"/>
      <c r="L805" s="12"/>
      <c r="M805" s="11"/>
      <c r="N805" s="11"/>
      <c r="O805" s="11"/>
      <c r="P805" s="11"/>
    </row>
    <row r="806" spans="7:16" x14ac:dyDescent="0.25">
      <c r="G806" s="698"/>
      <c r="H806" s="12"/>
      <c r="I806" s="12"/>
      <c r="J806" s="12"/>
      <c r="K806" s="12"/>
      <c r="L806" s="12"/>
      <c r="M806" s="11"/>
      <c r="N806" s="11"/>
      <c r="O806" s="11"/>
      <c r="P806" s="11"/>
    </row>
    <row r="807" spans="7:16" x14ac:dyDescent="0.25">
      <c r="G807" s="698"/>
      <c r="H807" s="12"/>
      <c r="I807" s="12"/>
      <c r="J807" s="12"/>
      <c r="K807" s="12"/>
      <c r="L807" s="12"/>
      <c r="M807" s="11"/>
      <c r="N807" s="11"/>
      <c r="O807" s="11"/>
      <c r="P807" s="11"/>
    </row>
    <row r="808" spans="7:16" x14ac:dyDescent="0.25">
      <c r="G808" s="698"/>
      <c r="H808" s="12"/>
      <c r="I808" s="12"/>
      <c r="J808" s="12"/>
      <c r="K808" s="12"/>
      <c r="L808" s="12"/>
      <c r="M808" s="11"/>
      <c r="N808" s="11"/>
      <c r="O808" s="11"/>
      <c r="P808" s="11"/>
    </row>
    <row r="809" spans="7:16" x14ac:dyDescent="0.25">
      <c r="G809" s="698"/>
      <c r="H809" s="12"/>
      <c r="I809" s="12"/>
      <c r="J809" s="12"/>
      <c r="K809" s="12"/>
      <c r="L809" s="12"/>
      <c r="M809" s="11"/>
      <c r="N809" s="11"/>
      <c r="O809" s="11"/>
      <c r="P809" s="11"/>
    </row>
    <row r="810" spans="7:16" x14ac:dyDescent="0.25">
      <c r="G810" s="698"/>
      <c r="H810" s="12"/>
      <c r="I810" s="12"/>
      <c r="J810" s="12"/>
      <c r="K810" s="12"/>
      <c r="L810" s="12"/>
      <c r="M810" s="11"/>
      <c r="N810" s="11"/>
      <c r="O810" s="11"/>
      <c r="P810" s="11"/>
    </row>
    <row r="811" spans="7:16" x14ac:dyDescent="0.25">
      <c r="G811" s="698"/>
      <c r="H811" s="12"/>
      <c r="I811" s="12"/>
      <c r="J811" s="12"/>
      <c r="K811" s="12"/>
      <c r="L811" s="12"/>
      <c r="M811" s="11"/>
      <c r="N811" s="11"/>
      <c r="O811" s="11"/>
      <c r="P811" s="11"/>
    </row>
    <row r="812" spans="7:16" x14ac:dyDescent="0.25">
      <c r="G812" s="698"/>
      <c r="H812" s="12"/>
      <c r="I812" s="12"/>
      <c r="J812" s="12"/>
      <c r="K812" s="12"/>
      <c r="L812" s="12"/>
      <c r="M812" s="11"/>
      <c r="N812" s="11"/>
      <c r="O812" s="11"/>
      <c r="P812" s="11"/>
    </row>
    <row r="813" spans="7:16" x14ac:dyDescent="0.25">
      <c r="G813" s="698"/>
      <c r="H813" s="12"/>
      <c r="I813" s="12"/>
      <c r="J813" s="12"/>
      <c r="K813" s="12"/>
      <c r="L813" s="12"/>
      <c r="M813" s="11"/>
      <c r="N813" s="11"/>
      <c r="O813" s="11"/>
      <c r="P813" s="11"/>
    </row>
    <row r="814" spans="7:16" x14ac:dyDescent="0.25">
      <c r="G814" s="698"/>
      <c r="H814" s="12"/>
      <c r="I814" s="12"/>
      <c r="J814" s="12"/>
      <c r="K814" s="12"/>
      <c r="L814" s="12"/>
      <c r="M814" s="11"/>
      <c r="N814" s="11"/>
      <c r="O814" s="11"/>
      <c r="P814" s="11"/>
    </row>
    <row r="815" spans="7:16" x14ac:dyDescent="0.25">
      <c r="G815" s="698"/>
      <c r="H815" s="12"/>
      <c r="I815" s="12"/>
      <c r="J815" s="12"/>
      <c r="K815" s="12"/>
      <c r="L815" s="12"/>
      <c r="M815" s="11"/>
      <c r="N815" s="11"/>
      <c r="O815" s="11"/>
      <c r="P815" s="11"/>
    </row>
    <row r="816" spans="7:16" x14ac:dyDescent="0.25">
      <c r="G816" s="698"/>
      <c r="H816" s="12"/>
      <c r="I816" s="12"/>
      <c r="J816" s="12"/>
      <c r="K816" s="12"/>
      <c r="L816" s="12"/>
      <c r="M816" s="11"/>
      <c r="N816" s="11"/>
      <c r="O816" s="11"/>
      <c r="P816" s="11"/>
    </row>
    <row r="817" spans="7:16" x14ac:dyDescent="0.25">
      <c r="G817" s="698"/>
      <c r="H817" s="12"/>
      <c r="I817" s="12"/>
      <c r="J817" s="12"/>
      <c r="K817" s="12"/>
      <c r="L817" s="12"/>
      <c r="M817" s="11"/>
      <c r="N817" s="11"/>
      <c r="O817" s="11"/>
      <c r="P817" s="11"/>
    </row>
    <row r="818" spans="7:16" x14ac:dyDescent="0.25">
      <c r="G818" s="698"/>
      <c r="H818" s="12"/>
      <c r="I818" s="12"/>
      <c r="J818" s="12"/>
      <c r="K818" s="12"/>
      <c r="L818" s="12"/>
      <c r="M818" s="11"/>
      <c r="N818" s="11"/>
      <c r="O818" s="11"/>
      <c r="P818" s="11"/>
    </row>
    <row r="819" spans="7:16" x14ac:dyDescent="0.25">
      <c r="G819" s="698"/>
      <c r="H819" s="12"/>
      <c r="I819" s="12"/>
      <c r="J819" s="12"/>
      <c r="K819" s="12"/>
      <c r="L819" s="12"/>
      <c r="M819" s="11"/>
      <c r="N819" s="11"/>
      <c r="O819" s="11"/>
      <c r="P819" s="11"/>
    </row>
    <row r="820" spans="7:16" x14ac:dyDescent="0.25">
      <c r="G820" s="698"/>
      <c r="H820" s="12"/>
      <c r="I820" s="12"/>
      <c r="J820" s="12"/>
      <c r="K820" s="12"/>
      <c r="L820" s="12"/>
      <c r="M820" s="11"/>
      <c r="N820" s="11"/>
      <c r="O820" s="11"/>
      <c r="P820" s="11"/>
    </row>
    <row r="821" spans="7:16" x14ac:dyDescent="0.25">
      <c r="G821" s="698"/>
      <c r="H821" s="12"/>
      <c r="I821" s="12"/>
      <c r="J821" s="12"/>
      <c r="K821" s="12"/>
      <c r="L821" s="12"/>
      <c r="M821" s="11"/>
      <c r="N821" s="11"/>
      <c r="O821" s="11"/>
      <c r="P821" s="11"/>
    </row>
    <row r="822" spans="7:16" x14ac:dyDescent="0.25">
      <c r="G822" s="698"/>
      <c r="H822" s="12"/>
      <c r="I822" s="12"/>
      <c r="J822" s="12"/>
      <c r="K822" s="12"/>
      <c r="L822" s="12"/>
      <c r="M822" s="11"/>
      <c r="N822" s="11"/>
      <c r="O822" s="11"/>
      <c r="P822" s="11"/>
    </row>
    <row r="823" spans="7:16" x14ac:dyDescent="0.25">
      <c r="G823" s="698"/>
      <c r="H823" s="12"/>
      <c r="I823" s="12"/>
      <c r="J823" s="12"/>
      <c r="K823" s="12"/>
      <c r="L823" s="12"/>
      <c r="M823" s="11"/>
      <c r="N823" s="11"/>
      <c r="O823" s="11"/>
      <c r="P823" s="11"/>
    </row>
    <row r="824" spans="7:16" x14ac:dyDescent="0.25">
      <c r="G824" s="698"/>
      <c r="H824" s="12"/>
      <c r="I824" s="12"/>
      <c r="J824" s="12"/>
      <c r="K824" s="12"/>
      <c r="L824" s="12"/>
      <c r="M824" s="11"/>
      <c r="N824" s="11"/>
      <c r="O824" s="11"/>
      <c r="P824" s="11"/>
    </row>
    <row r="825" spans="7:16" x14ac:dyDescent="0.25">
      <c r="G825" s="698"/>
      <c r="H825" s="12"/>
      <c r="I825" s="12"/>
      <c r="J825" s="12"/>
      <c r="K825" s="12"/>
      <c r="L825" s="12"/>
      <c r="M825" s="11"/>
      <c r="N825" s="11"/>
      <c r="O825" s="11"/>
      <c r="P825" s="11"/>
    </row>
    <row r="826" spans="7:16" x14ac:dyDescent="0.25">
      <c r="G826" s="698"/>
      <c r="H826" s="12"/>
      <c r="I826" s="12"/>
      <c r="J826" s="12"/>
      <c r="K826" s="12"/>
      <c r="L826" s="12"/>
      <c r="M826" s="11"/>
      <c r="N826" s="11"/>
      <c r="O826" s="11"/>
      <c r="P826" s="11"/>
    </row>
    <row r="827" spans="7:16" x14ac:dyDescent="0.25">
      <c r="G827" s="698"/>
      <c r="H827" s="12"/>
      <c r="I827" s="12"/>
      <c r="J827" s="12"/>
      <c r="K827" s="12"/>
      <c r="L827" s="12"/>
      <c r="M827" s="11"/>
      <c r="N827" s="11"/>
      <c r="O827" s="11"/>
      <c r="P827" s="11"/>
    </row>
    <row r="828" spans="7:16" x14ac:dyDescent="0.25">
      <c r="G828" s="698"/>
      <c r="H828" s="12"/>
      <c r="I828" s="12"/>
      <c r="J828" s="12"/>
      <c r="K828" s="12"/>
      <c r="L828" s="12"/>
      <c r="M828" s="11"/>
      <c r="N828" s="11"/>
      <c r="O828" s="11"/>
      <c r="P828" s="11"/>
    </row>
    <row r="829" spans="7:16" x14ac:dyDescent="0.25">
      <c r="G829" s="698"/>
      <c r="H829" s="12"/>
      <c r="I829" s="12"/>
      <c r="J829" s="12"/>
      <c r="K829" s="12"/>
      <c r="L829" s="12"/>
      <c r="M829" s="11"/>
      <c r="N829" s="11"/>
      <c r="O829" s="11"/>
      <c r="P829" s="11"/>
    </row>
    <row r="830" spans="7:16" x14ac:dyDescent="0.25">
      <c r="G830" s="698"/>
      <c r="H830" s="12"/>
      <c r="I830" s="12"/>
      <c r="J830" s="12"/>
      <c r="K830" s="12"/>
      <c r="L830" s="12"/>
      <c r="M830" s="11"/>
      <c r="N830" s="11"/>
      <c r="O830" s="11"/>
      <c r="P830" s="11"/>
    </row>
    <row r="831" spans="7:16" x14ac:dyDescent="0.25">
      <c r="G831" s="698"/>
      <c r="H831" s="12"/>
      <c r="I831" s="12"/>
      <c r="J831" s="12"/>
      <c r="K831" s="12"/>
      <c r="L831" s="12"/>
      <c r="M831" s="11"/>
      <c r="N831" s="11"/>
      <c r="O831" s="11"/>
      <c r="P831" s="11"/>
    </row>
    <row r="832" spans="7:16" x14ac:dyDescent="0.25">
      <c r="G832" s="698"/>
      <c r="H832" s="12"/>
      <c r="I832" s="12"/>
      <c r="J832" s="12"/>
      <c r="K832" s="12"/>
      <c r="L832" s="12"/>
      <c r="M832" s="11"/>
      <c r="N832" s="11"/>
      <c r="O832" s="11"/>
      <c r="P832" s="11"/>
    </row>
    <row r="833" spans="7:16" x14ac:dyDescent="0.25">
      <c r="G833" s="698"/>
      <c r="H833" s="12"/>
      <c r="I833" s="12"/>
      <c r="J833" s="12"/>
      <c r="K833" s="12"/>
      <c r="L833" s="12"/>
      <c r="M833" s="11"/>
      <c r="N833" s="11"/>
      <c r="O833" s="11"/>
      <c r="P833" s="11"/>
    </row>
    <row r="834" spans="7:16" x14ac:dyDescent="0.25">
      <c r="G834" s="698"/>
      <c r="H834" s="12"/>
      <c r="I834" s="12"/>
      <c r="J834" s="12"/>
      <c r="K834" s="12"/>
      <c r="L834" s="12"/>
      <c r="M834" s="11"/>
      <c r="N834" s="11"/>
      <c r="O834" s="11"/>
      <c r="P834" s="11"/>
    </row>
    <row r="835" spans="7:16" x14ac:dyDescent="0.25">
      <c r="G835" s="698"/>
      <c r="H835" s="12"/>
      <c r="I835" s="12"/>
      <c r="J835" s="12"/>
      <c r="K835" s="12"/>
      <c r="L835" s="12"/>
      <c r="M835" s="11"/>
      <c r="N835" s="11"/>
      <c r="O835" s="11"/>
      <c r="P835" s="11"/>
    </row>
    <row r="836" spans="7:16" x14ac:dyDescent="0.25">
      <c r="G836" s="698"/>
      <c r="H836" s="12"/>
      <c r="I836" s="12"/>
      <c r="J836" s="12"/>
      <c r="K836" s="12"/>
      <c r="L836" s="12"/>
      <c r="M836" s="11"/>
      <c r="N836" s="11"/>
      <c r="O836" s="11"/>
      <c r="P836" s="11"/>
    </row>
    <row r="837" spans="7:16" x14ac:dyDescent="0.25">
      <c r="G837" s="698"/>
      <c r="H837" s="12"/>
      <c r="I837" s="12"/>
      <c r="J837" s="12"/>
      <c r="K837" s="12"/>
      <c r="L837" s="12"/>
      <c r="M837" s="11"/>
      <c r="N837" s="11"/>
      <c r="O837" s="11"/>
      <c r="P837" s="11"/>
    </row>
    <row r="838" spans="7:16" x14ac:dyDescent="0.25">
      <c r="G838" s="698"/>
      <c r="H838" s="12"/>
      <c r="I838" s="12"/>
      <c r="J838" s="12"/>
      <c r="K838" s="12"/>
      <c r="L838" s="12"/>
      <c r="M838" s="11"/>
      <c r="N838" s="11"/>
      <c r="O838" s="11"/>
      <c r="P838" s="11"/>
    </row>
    <row r="839" spans="7:16" x14ac:dyDescent="0.25">
      <c r="G839" s="698"/>
      <c r="H839" s="12"/>
      <c r="I839" s="12"/>
      <c r="J839" s="12"/>
      <c r="K839" s="12"/>
      <c r="L839" s="12"/>
      <c r="M839" s="11"/>
      <c r="N839" s="11"/>
      <c r="O839" s="11"/>
      <c r="P839" s="11"/>
    </row>
    <row r="840" spans="7:16" x14ac:dyDescent="0.25">
      <c r="G840" s="698"/>
      <c r="H840" s="12"/>
      <c r="I840" s="12"/>
      <c r="J840" s="12"/>
      <c r="K840" s="12"/>
      <c r="L840" s="12"/>
      <c r="M840" s="11"/>
      <c r="N840" s="11"/>
      <c r="O840" s="11"/>
      <c r="P840" s="11"/>
    </row>
    <row r="841" spans="7:16" x14ac:dyDescent="0.25">
      <c r="G841" s="698"/>
      <c r="H841" s="12"/>
      <c r="I841" s="12"/>
      <c r="J841" s="12"/>
      <c r="K841" s="12"/>
      <c r="L841" s="12"/>
      <c r="M841" s="11"/>
      <c r="N841" s="11"/>
      <c r="O841" s="11"/>
      <c r="P841" s="11"/>
    </row>
    <row r="842" spans="7:16" x14ac:dyDescent="0.25">
      <c r="G842" s="698"/>
      <c r="H842" s="12"/>
      <c r="I842" s="12"/>
      <c r="J842" s="12"/>
      <c r="K842" s="12"/>
      <c r="L842" s="12"/>
      <c r="M842" s="11"/>
      <c r="N842" s="11"/>
      <c r="O842" s="11"/>
      <c r="P842" s="11"/>
    </row>
    <row r="843" spans="7:16" x14ac:dyDescent="0.25">
      <c r="G843" s="698"/>
      <c r="H843" s="12"/>
      <c r="I843" s="12"/>
      <c r="J843" s="12"/>
      <c r="K843" s="12"/>
      <c r="L843" s="12"/>
      <c r="M843" s="11"/>
      <c r="N843" s="11"/>
      <c r="O843" s="11"/>
      <c r="P843" s="11"/>
    </row>
    <row r="844" spans="7:16" x14ac:dyDescent="0.25">
      <c r="G844" s="698"/>
      <c r="H844" s="12"/>
      <c r="I844" s="12"/>
      <c r="J844" s="12"/>
      <c r="K844" s="12"/>
      <c r="L844" s="12"/>
      <c r="M844" s="11"/>
      <c r="N844" s="11"/>
      <c r="O844" s="11"/>
      <c r="P844" s="11"/>
    </row>
    <row r="845" spans="7:16" x14ac:dyDescent="0.25">
      <c r="G845" s="698"/>
      <c r="H845" s="12"/>
      <c r="I845" s="12"/>
      <c r="J845" s="12"/>
      <c r="K845" s="12"/>
      <c r="L845" s="12"/>
      <c r="M845" s="11"/>
      <c r="N845" s="11"/>
      <c r="O845" s="11"/>
      <c r="P845" s="11"/>
    </row>
    <row r="846" spans="7:16" x14ac:dyDescent="0.25">
      <c r="G846" s="698"/>
      <c r="H846" s="12"/>
      <c r="I846" s="12"/>
      <c r="J846" s="12"/>
      <c r="K846" s="12"/>
      <c r="L846" s="12"/>
      <c r="M846" s="11"/>
      <c r="N846" s="11"/>
      <c r="O846" s="11"/>
      <c r="P846" s="11"/>
    </row>
    <row r="847" spans="7:16" x14ac:dyDescent="0.25">
      <c r="G847" s="698"/>
      <c r="H847" s="12"/>
      <c r="I847" s="12"/>
      <c r="J847" s="12"/>
      <c r="K847" s="12"/>
      <c r="L847" s="12"/>
      <c r="M847" s="11"/>
      <c r="N847" s="11"/>
      <c r="O847" s="11"/>
      <c r="P847" s="11"/>
    </row>
    <row r="848" spans="7:16" x14ac:dyDescent="0.25">
      <c r="G848" s="698"/>
      <c r="H848" s="12"/>
      <c r="I848" s="12"/>
      <c r="J848" s="12"/>
      <c r="K848" s="12"/>
      <c r="L848" s="12"/>
      <c r="M848" s="11"/>
      <c r="N848" s="11"/>
      <c r="O848" s="11"/>
      <c r="P848" s="11"/>
    </row>
    <row r="849" spans="7:16" x14ac:dyDescent="0.25">
      <c r="G849" s="698"/>
      <c r="H849" s="12"/>
      <c r="I849" s="12"/>
      <c r="J849" s="12"/>
      <c r="K849" s="12"/>
      <c r="L849" s="12"/>
      <c r="M849" s="11"/>
      <c r="N849" s="11"/>
      <c r="O849" s="11"/>
      <c r="P849" s="11"/>
    </row>
    <row r="850" spans="7:16" x14ac:dyDescent="0.25">
      <c r="G850" s="698"/>
      <c r="H850" s="12"/>
      <c r="I850" s="12"/>
      <c r="J850" s="12"/>
      <c r="K850" s="12"/>
      <c r="L850" s="12"/>
      <c r="M850" s="11"/>
      <c r="N850" s="11"/>
      <c r="O850" s="11"/>
      <c r="P850" s="11"/>
    </row>
    <row r="851" spans="7:16" x14ac:dyDescent="0.25">
      <c r="G851" s="698"/>
      <c r="H851" s="12"/>
      <c r="I851" s="12"/>
      <c r="J851" s="12"/>
      <c r="K851" s="12"/>
      <c r="L851" s="12"/>
      <c r="M851" s="11"/>
      <c r="N851" s="11"/>
      <c r="O851" s="11"/>
      <c r="P851" s="11"/>
    </row>
    <row r="852" spans="7:16" x14ac:dyDescent="0.25">
      <c r="G852" s="698"/>
      <c r="H852" s="12"/>
      <c r="I852" s="12"/>
      <c r="J852" s="12"/>
      <c r="K852" s="12"/>
      <c r="L852" s="12"/>
      <c r="M852" s="11"/>
      <c r="N852" s="11"/>
      <c r="O852" s="11"/>
      <c r="P852" s="11"/>
    </row>
    <row r="853" spans="7:16" x14ac:dyDescent="0.25">
      <c r="G853" s="698"/>
      <c r="H853" s="12"/>
      <c r="I853" s="12"/>
      <c r="J853" s="12"/>
      <c r="K853" s="12"/>
      <c r="L853" s="12"/>
      <c r="M853" s="11"/>
      <c r="N853" s="11"/>
      <c r="O853" s="11"/>
      <c r="P853" s="11"/>
    </row>
    <row r="854" spans="7:16" x14ac:dyDescent="0.25">
      <c r="G854" s="698"/>
      <c r="H854" s="12"/>
      <c r="I854" s="12"/>
      <c r="J854" s="12"/>
      <c r="K854" s="12"/>
      <c r="L854" s="12"/>
      <c r="M854" s="11"/>
      <c r="N854" s="11"/>
      <c r="O854" s="11"/>
      <c r="P854" s="11"/>
    </row>
    <row r="855" spans="7:16" x14ac:dyDescent="0.25">
      <c r="G855" s="698"/>
      <c r="H855" s="12"/>
      <c r="I855" s="12"/>
      <c r="J855" s="12"/>
      <c r="K855" s="12"/>
      <c r="L855" s="12"/>
      <c r="M855" s="11"/>
      <c r="N855" s="11"/>
      <c r="O855" s="11"/>
      <c r="P855" s="11"/>
    </row>
    <row r="856" spans="7:16" x14ac:dyDescent="0.25">
      <c r="G856" s="698"/>
      <c r="H856" s="12"/>
      <c r="I856" s="12"/>
      <c r="J856" s="12"/>
      <c r="K856" s="12"/>
      <c r="L856" s="12"/>
      <c r="M856" s="11"/>
      <c r="N856" s="11"/>
      <c r="O856" s="11"/>
      <c r="P856" s="11"/>
    </row>
    <row r="857" spans="7:16" x14ac:dyDescent="0.25">
      <c r="G857" s="698"/>
      <c r="H857" s="12"/>
      <c r="I857" s="12"/>
      <c r="J857" s="12"/>
      <c r="K857" s="12"/>
      <c r="L857" s="12"/>
      <c r="M857" s="11"/>
      <c r="N857" s="11"/>
      <c r="O857" s="11"/>
      <c r="P857" s="11"/>
    </row>
    <row r="858" spans="7:16" x14ac:dyDescent="0.25">
      <c r="G858" s="698"/>
      <c r="H858" s="12"/>
      <c r="I858" s="12"/>
      <c r="J858" s="12"/>
      <c r="K858" s="12"/>
      <c r="L858" s="12"/>
      <c r="M858" s="11"/>
      <c r="N858" s="11"/>
      <c r="O858" s="11"/>
      <c r="P858" s="11"/>
    </row>
    <row r="859" spans="7:16" x14ac:dyDescent="0.25">
      <c r="G859" s="698"/>
      <c r="H859" s="12"/>
      <c r="I859" s="12"/>
      <c r="J859" s="12"/>
      <c r="K859" s="12"/>
      <c r="L859" s="12"/>
      <c r="M859" s="11"/>
      <c r="N859" s="11"/>
      <c r="O859" s="11"/>
      <c r="P859" s="11"/>
    </row>
    <row r="860" spans="7:16" x14ac:dyDescent="0.25">
      <c r="G860" s="698"/>
      <c r="H860" s="12"/>
      <c r="I860" s="12"/>
      <c r="J860" s="12"/>
      <c r="K860" s="12"/>
      <c r="L860" s="12"/>
      <c r="M860" s="11"/>
      <c r="N860" s="11"/>
      <c r="O860" s="11"/>
      <c r="P860" s="11"/>
    </row>
    <row r="861" spans="7:16" x14ac:dyDescent="0.25">
      <c r="G861" s="698"/>
      <c r="H861" s="12"/>
      <c r="I861" s="12"/>
      <c r="J861" s="12"/>
      <c r="K861" s="12"/>
      <c r="L861" s="12"/>
      <c r="M861" s="11"/>
      <c r="N861" s="11"/>
      <c r="O861" s="11"/>
      <c r="P861" s="11"/>
    </row>
    <row r="862" spans="7:16" x14ac:dyDescent="0.25">
      <c r="G862" s="698"/>
      <c r="H862" s="12"/>
      <c r="I862" s="12"/>
      <c r="J862" s="12"/>
      <c r="K862" s="12"/>
      <c r="L862" s="12"/>
      <c r="M862" s="11"/>
      <c r="N862" s="11"/>
      <c r="O862" s="11"/>
      <c r="P862" s="11"/>
    </row>
    <row r="863" spans="7:16" x14ac:dyDescent="0.25">
      <c r="G863" s="698"/>
      <c r="H863" s="12"/>
      <c r="I863" s="12"/>
      <c r="J863" s="12"/>
      <c r="K863" s="12"/>
      <c r="L863" s="12"/>
      <c r="M863" s="11"/>
      <c r="N863" s="11"/>
      <c r="O863" s="11"/>
      <c r="P863" s="11"/>
    </row>
    <row r="864" spans="7:16" x14ac:dyDescent="0.25">
      <c r="G864" s="698"/>
      <c r="H864" s="12"/>
      <c r="I864" s="12"/>
      <c r="J864" s="12"/>
      <c r="K864" s="12"/>
      <c r="L864" s="12"/>
      <c r="M864" s="11"/>
      <c r="N864" s="11"/>
      <c r="O864" s="11"/>
      <c r="P864" s="11"/>
    </row>
    <row r="865" spans="7:16" x14ac:dyDescent="0.25">
      <c r="G865" s="698"/>
      <c r="H865" s="12"/>
      <c r="I865" s="12"/>
      <c r="J865" s="12"/>
      <c r="K865" s="12"/>
      <c r="L865" s="12"/>
      <c r="M865" s="11"/>
      <c r="N865" s="11"/>
      <c r="O865" s="11"/>
      <c r="P865" s="11"/>
    </row>
    <row r="866" spans="7:16" x14ac:dyDescent="0.25">
      <c r="G866" s="698"/>
      <c r="H866" s="12"/>
      <c r="I866" s="12"/>
      <c r="J866" s="12"/>
      <c r="K866" s="12"/>
      <c r="L866" s="12"/>
      <c r="M866" s="11"/>
      <c r="N866" s="11"/>
      <c r="O866" s="11"/>
      <c r="P866" s="11"/>
    </row>
    <row r="867" spans="7:16" x14ac:dyDescent="0.25">
      <c r="G867" s="698"/>
      <c r="H867" s="12"/>
      <c r="I867" s="12"/>
      <c r="J867" s="12"/>
      <c r="K867" s="12"/>
      <c r="L867" s="12"/>
      <c r="M867" s="11"/>
      <c r="N867" s="11"/>
      <c r="O867" s="11"/>
      <c r="P867" s="11"/>
    </row>
    <row r="868" spans="7:16" x14ac:dyDescent="0.25">
      <c r="G868" s="698"/>
      <c r="H868" s="12"/>
      <c r="I868" s="12"/>
      <c r="J868" s="12"/>
      <c r="K868" s="12"/>
      <c r="L868" s="12"/>
      <c r="M868" s="11"/>
      <c r="N868" s="11"/>
      <c r="O868" s="11"/>
      <c r="P868" s="11"/>
    </row>
    <row r="869" spans="7:16" x14ac:dyDescent="0.25">
      <c r="G869" s="698"/>
      <c r="H869" s="12"/>
      <c r="I869" s="12"/>
      <c r="J869" s="12"/>
      <c r="K869" s="12"/>
      <c r="L869" s="12"/>
      <c r="M869" s="11"/>
      <c r="N869" s="11"/>
      <c r="O869" s="11"/>
      <c r="P869" s="11"/>
    </row>
    <row r="870" spans="7:16" x14ac:dyDescent="0.25">
      <c r="G870" s="698"/>
      <c r="H870" s="12"/>
      <c r="I870" s="12"/>
      <c r="J870" s="12"/>
      <c r="K870" s="12"/>
      <c r="L870" s="12"/>
      <c r="M870" s="11"/>
      <c r="N870" s="11"/>
      <c r="O870" s="11"/>
      <c r="P870" s="11"/>
    </row>
    <row r="871" spans="7:16" x14ac:dyDescent="0.25">
      <c r="G871" s="698"/>
      <c r="H871" s="12"/>
      <c r="I871" s="12"/>
      <c r="J871" s="12"/>
      <c r="K871" s="12"/>
      <c r="L871" s="12"/>
      <c r="M871" s="11"/>
      <c r="N871" s="11"/>
      <c r="O871" s="11"/>
      <c r="P871" s="11"/>
    </row>
    <row r="872" spans="7:16" x14ac:dyDescent="0.25">
      <c r="G872" s="698"/>
      <c r="H872" s="12"/>
      <c r="I872" s="12"/>
      <c r="J872" s="12"/>
      <c r="K872" s="12"/>
      <c r="L872" s="12"/>
      <c r="M872" s="11"/>
      <c r="N872" s="11"/>
      <c r="O872" s="11"/>
      <c r="P872" s="11"/>
    </row>
    <row r="873" spans="7:16" x14ac:dyDescent="0.25">
      <c r="G873" s="698"/>
      <c r="H873" s="12"/>
      <c r="I873" s="12"/>
      <c r="J873" s="12"/>
      <c r="K873" s="12"/>
      <c r="L873" s="12"/>
      <c r="M873" s="11"/>
      <c r="N873" s="11"/>
      <c r="O873" s="11"/>
      <c r="P873" s="11"/>
    </row>
    <row r="874" spans="7:16" x14ac:dyDescent="0.25">
      <c r="G874" s="698"/>
      <c r="H874" s="12"/>
      <c r="I874" s="12"/>
      <c r="J874" s="12"/>
      <c r="K874" s="12"/>
      <c r="L874" s="12"/>
      <c r="M874" s="11"/>
      <c r="N874" s="11"/>
      <c r="O874" s="11"/>
      <c r="P874" s="11"/>
    </row>
    <row r="875" spans="7:16" x14ac:dyDescent="0.25">
      <c r="G875" s="698"/>
      <c r="H875" s="12"/>
      <c r="I875" s="12"/>
      <c r="J875" s="12"/>
      <c r="K875" s="12"/>
      <c r="L875" s="12"/>
      <c r="M875" s="11"/>
      <c r="N875" s="11"/>
      <c r="O875" s="11"/>
      <c r="P875" s="11"/>
    </row>
    <row r="876" spans="7:16" x14ac:dyDescent="0.25">
      <c r="G876" s="698"/>
      <c r="H876" s="12"/>
      <c r="I876" s="12"/>
      <c r="J876" s="12"/>
      <c r="K876" s="12"/>
      <c r="L876" s="12"/>
      <c r="M876" s="11"/>
      <c r="N876" s="11"/>
      <c r="O876" s="11"/>
      <c r="P876" s="11"/>
    </row>
    <row r="877" spans="7:16" x14ac:dyDescent="0.25">
      <c r="G877" s="698"/>
      <c r="H877" s="12"/>
      <c r="I877" s="12"/>
      <c r="J877" s="12"/>
      <c r="K877" s="12"/>
      <c r="L877" s="12"/>
      <c r="M877" s="11"/>
      <c r="N877" s="11"/>
      <c r="O877" s="11"/>
      <c r="P877" s="11"/>
    </row>
    <row r="878" spans="7:16" x14ac:dyDescent="0.25">
      <c r="G878" s="698"/>
      <c r="H878" s="12"/>
      <c r="I878" s="12"/>
      <c r="J878" s="12"/>
      <c r="K878" s="12"/>
      <c r="L878" s="12"/>
      <c r="M878" s="11"/>
      <c r="N878" s="11"/>
      <c r="O878" s="11"/>
      <c r="P878" s="11"/>
    </row>
    <row r="879" spans="7:16" x14ac:dyDescent="0.25">
      <c r="G879" s="698"/>
      <c r="H879" s="12"/>
      <c r="I879" s="12"/>
      <c r="J879" s="12"/>
      <c r="K879" s="12"/>
      <c r="L879" s="12"/>
      <c r="M879" s="11"/>
      <c r="N879" s="11"/>
      <c r="O879" s="11"/>
      <c r="P879" s="11"/>
    </row>
    <row r="880" spans="7:16" x14ac:dyDescent="0.25">
      <c r="G880" s="698"/>
      <c r="H880" s="12"/>
      <c r="I880" s="12"/>
      <c r="J880" s="12"/>
      <c r="K880" s="12"/>
      <c r="L880" s="12"/>
      <c r="M880" s="11"/>
      <c r="N880" s="11"/>
      <c r="O880" s="11"/>
      <c r="P880" s="11"/>
    </row>
    <row r="881" spans="7:16" x14ac:dyDescent="0.25">
      <c r="G881" s="698"/>
      <c r="H881" s="12"/>
      <c r="I881" s="12"/>
      <c r="J881" s="12"/>
      <c r="K881" s="12"/>
      <c r="L881" s="12"/>
      <c r="M881" s="11"/>
      <c r="N881" s="11"/>
      <c r="O881" s="11"/>
      <c r="P881" s="11"/>
    </row>
    <row r="882" spans="7:16" x14ac:dyDescent="0.25">
      <c r="G882" s="698"/>
      <c r="H882" s="12"/>
      <c r="I882" s="12"/>
      <c r="J882" s="12"/>
      <c r="K882" s="12"/>
      <c r="L882" s="12"/>
      <c r="M882" s="11"/>
      <c r="N882" s="11"/>
      <c r="O882" s="11"/>
      <c r="P882" s="11"/>
    </row>
    <row r="883" spans="7:16" x14ac:dyDescent="0.25">
      <c r="G883" s="698"/>
      <c r="H883" s="12"/>
      <c r="I883" s="12"/>
      <c r="J883" s="12"/>
      <c r="K883" s="12"/>
      <c r="L883" s="12"/>
      <c r="M883" s="11"/>
      <c r="N883" s="11"/>
      <c r="O883" s="11"/>
      <c r="P883" s="11"/>
    </row>
    <row r="884" spans="7:16" x14ac:dyDescent="0.25">
      <c r="G884" s="698"/>
      <c r="H884" s="12"/>
      <c r="I884" s="12"/>
      <c r="J884" s="12"/>
      <c r="K884" s="12"/>
      <c r="L884" s="12"/>
      <c r="M884" s="11"/>
      <c r="N884" s="11"/>
      <c r="O884" s="11"/>
      <c r="P884" s="11"/>
    </row>
    <row r="885" spans="7:16" x14ac:dyDescent="0.25">
      <c r="G885" s="698"/>
      <c r="H885" s="12"/>
      <c r="I885" s="12"/>
      <c r="J885" s="12"/>
      <c r="K885" s="12"/>
      <c r="L885" s="12"/>
      <c r="M885" s="11"/>
      <c r="N885" s="11"/>
      <c r="O885" s="11"/>
      <c r="P885" s="11"/>
    </row>
    <row r="886" spans="7:16" x14ac:dyDescent="0.25">
      <c r="G886" s="698"/>
      <c r="H886" s="12"/>
      <c r="I886" s="12"/>
      <c r="J886" s="12"/>
      <c r="K886" s="12"/>
      <c r="L886" s="12"/>
      <c r="M886" s="11"/>
      <c r="N886" s="11"/>
      <c r="O886" s="11"/>
      <c r="P886" s="11"/>
    </row>
    <row r="887" spans="7:16" x14ac:dyDescent="0.25">
      <c r="G887" s="698"/>
      <c r="H887" s="12"/>
      <c r="I887" s="12"/>
      <c r="J887" s="12"/>
      <c r="K887" s="12"/>
      <c r="L887" s="12"/>
      <c r="M887" s="11"/>
      <c r="N887" s="11"/>
      <c r="O887" s="11"/>
      <c r="P887" s="11"/>
    </row>
    <row r="888" spans="7:16" x14ac:dyDescent="0.25">
      <c r="G888" s="698"/>
      <c r="H888" s="12"/>
      <c r="I888" s="12"/>
      <c r="J888" s="12"/>
      <c r="K888" s="12"/>
      <c r="L888" s="12"/>
      <c r="M888" s="11"/>
      <c r="N888" s="11"/>
      <c r="O888" s="11"/>
      <c r="P888" s="11"/>
    </row>
    <row r="889" spans="7:16" x14ac:dyDescent="0.25">
      <c r="G889" s="698"/>
      <c r="H889" s="12"/>
      <c r="I889" s="12"/>
      <c r="J889" s="12"/>
      <c r="K889" s="12"/>
      <c r="L889" s="12"/>
      <c r="M889" s="11"/>
      <c r="N889" s="11"/>
      <c r="O889" s="11"/>
      <c r="P889" s="11"/>
    </row>
    <row r="890" spans="7:16" x14ac:dyDescent="0.25">
      <c r="G890" s="698"/>
      <c r="H890" s="12"/>
      <c r="I890" s="12"/>
      <c r="J890" s="12"/>
      <c r="K890" s="12"/>
      <c r="L890" s="12"/>
      <c r="M890" s="11"/>
      <c r="N890" s="11"/>
      <c r="O890" s="11"/>
      <c r="P890" s="11"/>
    </row>
    <row r="891" spans="7:16" x14ac:dyDescent="0.25">
      <c r="G891" s="698"/>
      <c r="H891" s="12"/>
      <c r="I891" s="12"/>
      <c r="J891" s="12"/>
      <c r="K891" s="12"/>
      <c r="L891" s="12"/>
      <c r="M891" s="11"/>
      <c r="N891" s="11"/>
      <c r="O891" s="11"/>
      <c r="P891" s="11"/>
    </row>
    <row r="892" spans="7:16" x14ac:dyDescent="0.25">
      <c r="G892" s="698"/>
      <c r="H892" s="12"/>
      <c r="I892" s="12"/>
      <c r="J892" s="12"/>
      <c r="K892" s="12"/>
      <c r="L892" s="12"/>
      <c r="M892" s="11"/>
      <c r="N892" s="11"/>
      <c r="O892" s="11"/>
      <c r="P892" s="11"/>
    </row>
    <row r="893" spans="7:16" x14ac:dyDescent="0.25">
      <c r="G893" s="698"/>
      <c r="H893" s="12"/>
      <c r="I893" s="12"/>
      <c r="J893" s="12"/>
      <c r="K893" s="12"/>
      <c r="L893" s="12"/>
      <c r="M893" s="11"/>
      <c r="N893" s="11"/>
      <c r="O893" s="11"/>
      <c r="P893" s="11"/>
    </row>
    <row r="894" spans="7:16" x14ac:dyDescent="0.25">
      <c r="G894" s="698"/>
      <c r="H894" s="12"/>
      <c r="I894" s="12"/>
      <c r="J894" s="12"/>
      <c r="K894" s="12"/>
      <c r="L894" s="12"/>
      <c r="M894" s="11"/>
      <c r="N894" s="11"/>
      <c r="O894" s="11"/>
      <c r="P894" s="11"/>
    </row>
    <row r="895" spans="7:16" x14ac:dyDescent="0.25">
      <c r="G895" s="698"/>
      <c r="H895" s="12"/>
      <c r="I895" s="12"/>
      <c r="J895" s="12"/>
      <c r="K895" s="12"/>
      <c r="L895" s="12"/>
      <c r="M895" s="11"/>
      <c r="N895" s="11"/>
      <c r="O895" s="11"/>
      <c r="P895" s="11"/>
    </row>
    <row r="896" spans="7:16" x14ac:dyDescent="0.25">
      <c r="G896" s="698"/>
      <c r="H896" s="12"/>
      <c r="I896" s="12"/>
      <c r="J896" s="12"/>
      <c r="K896" s="12"/>
      <c r="L896" s="12"/>
      <c r="M896" s="11"/>
      <c r="N896" s="11"/>
      <c r="O896" s="11"/>
      <c r="P896" s="11"/>
    </row>
    <row r="897" spans="7:16" x14ac:dyDescent="0.25">
      <c r="G897" s="698"/>
      <c r="H897" s="12"/>
      <c r="I897" s="12"/>
      <c r="J897" s="12"/>
      <c r="K897" s="12"/>
      <c r="L897" s="12"/>
      <c r="M897" s="11"/>
      <c r="N897" s="11"/>
      <c r="O897" s="11"/>
      <c r="P897" s="11"/>
    </row>
    <row r="898" spans="7:16" x14ac:dyDescent="0.25">
      <c r="G898" s="698"/>
      <c r="H898" s="12"/>
      <c r="I898" s="12"/>
      <c r="J898" s="12"/>
      <c r="K898" s="12"/>
      <c r="L898" s="12"/>
      <c r="M898" s="11"/>
      <c r="N898" s="11"/>
      <c r="O898" s="11"/>
      <c r="P898" s="11"/>
    </row>
    <row r="899" spans="7:16" x14ac:dyDescent="0.25">
      <c r="G899" s="698"/>
      <c r="H899" s="12"/>
      <c r="I899" s="12"/>
      <c r="J899" s="12"/>
      <c r="K899" s="12"/>
      <c r="L899" s="12"/>
      <c r="M899" s="11"/>
      <c r="N899" s="11"/>
      <c r="O899" s="11"/>
      <c r="P899" s="11"/>
    </row>
    <row r="900" spans="7:16" x14ac:dyDescent="0.25">
      <c r="G900" s="698"/>
      <c r="H900" s="12"/>
      <c r="I900" s="12"/>
      <c r="J900" s="12"/>
      <c r="K900" s="12"/>
      <c r="L900" s="12"/>
      <c r="M900" s="11"/>
      <c r="N900" s="11"/>
      <c r="O900" s="11"/>
      <c r="P900" s="11"/>
    </row>
    <row r="901" spans="7:16" x14ac:dyDescent="0.25">
      <c r="G901" s="698"/>
      <c r="H901" s="12"/>
      <c r="I901" s="12"/>
      <c r="J901" s="12"/>
      <c r="K901" s="12"/>
      <c r="L901" s="12"/>
      <c r="M901" s="11"/>
      <c r="N901" s="11"/>
      <c r="O901" s="11"/>
      <c r="P901" s="11"/>
    </row>
    <row r="902" spans="7:16" x14ac:dyDescent="0.25">
      <c r="G902" s="698"/>
      <c r="H902" s="12"/>
      <c r="I902" s="12"/>
      <c r="J902" s="12"/>
      <c r="K902" s="12"/>
      <c r="L902" s="12"/>
      <c r="M902" s="11"/>
      <c r="N902" s="11"/>
      <c r="O902" s="11"/>
      <c r="P902" s="11"/>
    </row>
    <row r="903" spans="7:16" x14ac:dyDescent="0.25">
      <c r="G903" s="698"/>
      <c r="H903" s="12"/>
      <c r="I903" s="12"/>
      <c r="J903" s="12"/>
      <c r="K903" s="12"/>
      <c r="L903" s="12"/>
      <c r="M903" s="11"/>
      <c r="N903" s="11"/>
      <c r="O903" s="11"/>
      <c r="P903" s="11"/>
    </row>
    <row r="904" spans="7:16" x14ac:dyDescent="0.25">
      <c r="G904" s="698"/>
      <c r="H904" s="12"/>
      <c r="I904" s="12"/>
      <c r="J904" s="12"/>
      <c r="K904" s="12"/>
      <c r="L904" s="12"/>
      <c r="M904" s="11"/>
      <c r="N904" s="11"/>
      <c r="O904" s="11"/>
      <c r="P904" s="11"/>
    </row>
    <row r="905" spans="7:16" x14ac:dyDescent="0.25">
      <c r="G905" s="698"/>
      <c r="H905" s="12"/>
      <c r="I905" s="12"/>
      <c r="J905" s="12"/>
      <c r="K905" s="12"/>
      <c r="L905" s="12"/>
      <c r="M905" s="11"/>
      <c r="N905" s="11"/>
      <c r="O905" s="11"/>
      <c r="P905" s="11"/>
    </row>
    <row r="906" spans="7:16" x14ac:dyDescent="0.25">
      <c r="G906" s="698"/>
      <c r="H906" s="12"/>
      <c r="I906" s="12"/>
      <c r="J906" s="12"/>
      <c r="K906" s="12"/>
      <c r="L906" s="12"/>
      <c r="M906" s="11"/>
      <c r="N906" s="11"/>
      <c r="O906" s="11"/>
      <c r="P906" s="11"/>
    </row>
    <row r="907" spans="7:16" x14ac:dyDescent="0.25">
      <c r="G907" s="698"/>
      <c r="H907" s="12"/>
      <c r="I907" s="12"/>
      <c r="J907" s="12"/>
      <c r="K907" s="12"/>
      <c r="L907" s="12"/>
      <c r="M907" s="11"/>
      <c r="N907" s="11"/>
      <c r="O907" s="11"/>
      <c r="P907" s="11"/>
    </row>
    <row r="908" spans="7:16" x14ac:dyDescent="0.25">
      <c r="G908" s="698"/>
      <c r="H908" s="12"/>
      <c r="I908" s="12"/>
      <c r="J908" s="12"/>
      <c r="K908" s="12"/>
      <c r="L908" s="12"/>
      <c r="M908" s="11"/>
      <c r="N908" s="11"/>
      <c r="O908" s="11"/>
      <c r="P908" s="11"/>
    </row>
    <row r="909" spans="7:16" x14ac:dyDescent="0.25">
      <c r="G909" s="698"/>
      <c r="H909" s="12"/>
      <c r="I909" s="12"/>
      <c r="J909" s="12"/>
      <c r="K909" s="12"/>
      <c r="L909" s="12"/>
      <c r="M909" s="11"/>
      <c r="N909" s="11"/>
      <c r="O909" s="11"/>
      <c r="P909" s="11"/>
    </row>
    <row r="910" spans="7:16" x14ac:dyDescent="0.25">
      <c r="G910" s="698"/>
      <c r="H910" s="12"/>
      <c r="I910" s="12"/>
      <c r="J910" s="12"/>
      <c r="K910" s="12"/>
      <c r="L910" s="12"/>
      <c r="M910" s="11"/>
      <c r="N910" s="11"/>
      <c r="O910" s="11"/>
      <c r="P910" s="11"/>
    </row>
    <row r="911" spans="7:16" x14ac:dyDescent="0.25">
      <c r="G911" s="698"/>
      <c r="H911" s="12"/>
      <c r="I911" s="12"/>
      <c r="J911" s="12"/>
      <c r="K911" s="12"/>
      <c r="L911" s="12"/>
      <c r="M911" s="11"/>
      <c r="N911" s="11"/>
      <c r="O911" s="11"/>
      <c r="P911" s="11"/>
    </row>
    <row r="912" spans="7:16" x14ac:dyDescent="0.25">
      <c r="G912" s="698"/>
      <c r="H912" s="12"/>
      <c r="I912" s="12"/>
      <c r="J912" s="12"/>
      <c r="K912" s="12"/>
      <c r="L912" s="12"/>
      <c r="M912" s="11"/>
      <c r="N912" s="11"/>
      <c r="O912" s="11"/>
      <c r="P912" s="11"/>
    </row>
    <row r="913" spans="7:16" x14ac:dyDescent="0.25">
      <c r="G913" s="698"/>
      <c r="H913" s="12"/>
      <c r="I913" s="12"/>
      <c r="J913" s="12"/>
      <c r="K913" s="12"/>
      <c r="L913" s="12"/>
      <c r="M913" s="11"/>
      <c r="N913" s="11"/>
      <c r="O913" s="11"/>
      <c r="P913" s="11"/>
    </row>
    <row r="914" spans="7:16" x14ac:dyDescent="0.25">
      <c r="G914" s="698"/>
      <c r="H914" s="12"/>
      <c r="I914" s="12"/>
      <c r="J914" s="12"/>
      <c r="K914" s="12"/>
      <c r="L914" s="12"/>
      <c r="M914" s="11"/>
      <c r="N914" s="11"/>
      <c r="O914" s="11"/>
      <c r="P914" s="11"/>
    </row>
    <row r="915" spans="7:16" x14ac:dyDescent="0.25">
      <c r="G915" s="698"/>
      <c r="H915" s="12"/>
      <c r="I915" s="12"/>
      <c r="J915" s="12"/>
      <c r="K915" s="12"/>
      <c r="L915" s="12"/>
      <c r="M915" s="11"/>
      <c r="N915" s="11"/>
      <c r="O915" s="11"/>
      <c r="P915" s="11"/>
    </row>
    <row r="916" spans="7:16" x14ac:dyDescent="0.25">
      <c r="G916" s="698"/>
      <c r="H916" s="12"/>
      <c r="I916" s="12"/>
      <c r="J916" s="12"/>
      <c r="K916" s="12"/>
      <c r="L916" s="12"/>
      <c r="M916" s="11"/>
      <c r="N916" s="11"/>
      <c r="O916" s="11"/>
      <c r="P916" s="11"/>
    </row>
    <row r="917" spans="7:16" x14ac:dyDescent="0.25">
      <c r="G917" s="698"/>
      <c r="H917" s="12"/>
      <c r="I917" s="12"/>
      <c r="J917" s="12"/>
      <c r="K917" s="12"/>
      <c r="L917" s="12"/>
      <c r="M917" s="11"/>
      <c r="N917" s="11"/>
      <c r="O917" s="11"/>
      <c r="P917" s="11"/>
    </row>
    <row r="918" spans="7:16" x14ac:dyDescent="0.25">
      <c r="G918" s="698"/>
      <c r="H918" s="12"/>
      <c r="I918" s="12"/>
      <c r="J918" s="12"/>
      <c r="K918" s="12"/>
      <c r="L918" s="12"/>
      <c r="M918" s="11"/>
      <c r="N918" s="11"/>
      <c r="O918" s="11"/>
      <c r="P918" s="11"/>
    </row>
    <row r="919" spans="7:16" x14ac:dyDescent="0.25">
      <c r="G919" s="698"/>
      <c r="H919" s="12"/>
      <c r="I919" s="12"/>
      <c r="J919" s="12"/>
      <c r="K919" s="12"/>
      <c r="L919" s="12"/>
      <c r="M919" s="11"/>
      <c r="N919" s="11"/>
      <c r="O919" s="11"/>
      <c r="P919" s="11"/>
    </row>
    <row r="920" spans="7:16" x14ac:dyDescent="0.25">
      <c r="G920" s="698"/>
      <c r="H920" s="12"/>
      <c r="I920" s="12"/>
      <c r="J920" s="12"/>
      <c r="K920" s="12"/>
      <c r="L920" s="12"/>
      <c r="M920" s="11"/>
      <c r="N920" s="11"/>
      <c r="O920" s="11"/>
      <c r="P920" s="11"/>
    </row>
    <row r="921" spans="7:16" x14ac:dyDescent="0.25">
      <c r="G921" s="698"/>
      <c r="H921" s="12"/>
      <c r="I921" s="12"/>
      <c r="J921" s="12"/>
      <c r="K921" s="12"/>
      <c r="L921" s="12"/>
      <c r="M921" s="11"/>
      <c r="N921" s="11"/>
      <c r="O921" s="11"/>
      <c r="P921" s="11"/>
    </row>
    <row r="922" spans="7:16" x14ac:dyDescent="0.25">
      <c r="G922" s="698"/>
      <c r="H922" s="12"/>
      <c r="I922" s="12"/>
      <c r="J922" s="12"/>
      <c r="K922" s="12"/>
      <c r="L922" s="12"/>
      <c r="M922" s="11"/>
      <c r="N922" s="11"/>
      <c r="O922" s="11"/>
      <c r="P922" s="11"/>
    </row>
    <row r="923" spans="7:16" x14ac:dyDescent="0.25">
      <c r="G923" s="698"/>
      <c r="H923" s="12"/>
      <c r="I923" s="12"/>
      <c r="J923" s="12"/>
      <c r="K923" s="12"/>
      <c r="L923" s="12"/>
      <c r="M923" s="11"/>
      <c r="N923" s="11"/>
      <c r="O923" s="11"/>
      <c r="P923" s="11"/>
    </row>
    <row r="924" spans="7:16" x14ac:dyDescent="0.25">
      <c r="G924" s="698"/>
      <c r="H924" s="12"/>
      <c r="I924" s="12"/>
      <c r="J924" s="12"/>
      <c r="K924" s="12"/>
      <c r="L924" s="12"/>
      <c r="M924" s="11"/>
      <c r="N924" s="11"/>
      <c r="O924" s="11"/>
      <c r="P924" s="11"/>
    </row>
    <row r="925" spans="7:16" x14ac:dyDescent="0.25">
      <c r="G925" s="698"/>
      <c r="H925" s="12"/>
      <c r="I925" s="12"/>
      <c r="J925" s="12"/>
      <c r="K925" s="12"/>
      <c r="L925" s="12"/>
      <c r="M925" s="11"/>
      <c r="N925" s="11"/>
      <c r="O925" s="11"/>
      <c r="P925" s="11"/>
    </row>
    <row r="926" spans="7:16" x14ac:dyDescent="0.25">
      <c r="G926" s="698"/>
      <c r="H926" s="12"/>
      <c r="I926" s="12"/>
      <c r="J926" s="12"/>
      <c r="K926" s="12"/>
      <c r="L926" s="12"/>
      <c r="M926" s="11"/>
      <c r="N926" s="11"/>
      <c r="O926" s="11"/>
      <c r="P926" s="11"/>
    </row>
    <row r="927" spans="7:16" x14ac:dyDescent="0.25">
      <c r="G927" s="698"/>
      <c r="H927" s="12"/>
      <c r="I927" s="12"/>
      <c r="J927" s="12"/>
      <c r="K927" s="12"/>
      <c r="L927" s="12"/>
      <c r="M927" s="11"/>
      <c r="N927" s="11"/>
      <c r="O927" s="11"/>
      <c r="P927" s="11"/>
    </row>
    <row r="928" spans="7:16" x14ac:dyDescent="0.25">
      <c r="G928" s="698"/>
      <c r="H928" s="12"/>
      <c r="I928" s="12"/>
      <c r="J928" s="12"/>
      <c r="K928" s="12"/>
      <c r="L928" s="12"/>
      <c r="M928" s="11"/>
      <c r="N928" s="11"/>
      <c r="O928" s="11"/>
      <c r="P928" s="11"/>
    </row>
    <row r="929" spans="7:16" x14ac:dyDescent="0.25">
      <c r="G929" s="698"/>
      <c r="H929" s="12"/>
      <c r="I929" s="12"/>
      <c r="J929" s="12"/>
      <c r="K929" s="12"/>
      <c r="L929" s="12"/>
      <c r="M929" s="11"/>
      <c r="N929" s="11"/>
      <c r="O929" s="11"/>
      <c r="P929" s="11"/>
    </row>
    <row r="930" spans="7:16" x14ac:dyDescent="0.25">
      <c r="G930" s="698"/>
      <c r="H930" s="12"/>
      <c r="I930" s="12"/>
      <c r="J930" s="12"/>
      <c r="K930" s="12"/>
      <c r="L930" s="12"/>
      <c r="M930" s="11"/>
      <c r="N930" s="11"/>
      <c r="O930" s="11"/>
      <c r="P930" s="11"/>
    </row>
    <row r="931" spans="7:16" x14ac:dyDescent="0.25">
      <c r="G931" s="698"/>
      <c r="H931" s="12"/>
      <c r="I931" s="12"/>
      <c r="J931" s="12"/>
      <c r="K931" s="12"/>
      <c r="L931" s="12"/>
      <c r="M931" s="11"/>
      <c r="N931" s="11"/>
      <c r="O931" s="11"/>
      <c r="P931" s="11"/>
    </row>
    <row r="932" spans="7:16" x14ac:dyDescent="0.25">
      <c r="G932" s="698"/>
      <c r="H932" s="12"/>
      <c r="I932" s="12"/>
      <c r="J932" s="12"/>
      <c r="K932" s="12"/>
      <c r="L932" s="12"/>
      <c r="M932" s="11"/>
      <c r="N932" s="11"/>
      <c r="O932" s="11"/>
      <c r="P932" s="11"/>
    </row>
    <row r="933" spans="7:16" x14ac:dyDescent="0.25">
      <c r="G933" s="698"/>
      <c r="H933" s="12"/>
      <c r="I933" s="12"/>
      <c r="J933" s="12"/>
      <c r="K933" s="12"/>
      <c r="L933" s="12"/>
      <c r="M933" s="11"/>
      <c r="N933" s="11"/>
      <c r="O933" s="11"/>
      <c r="P933" s="11"/>
    </row>
    <row r="934" spans="7:16" x14ac:dyDescent="0.25">
      <c r="G934" s="698"/>
      <c r="H934" s="12"/>
      <c r="I934" s="12"/>
      <c r="J934" s="12"/>
      <c r="K934" s="12"/>
      <c r="L934" s="12"/>
      <c r="M934" s="11"/>
      <c r="N934" s="11"/>
      <c r="O934" s="11"/>
      <c r="P934" s="11"/>
    </row>
    <row r="935" spans="7:16" x14ac:dyDescent="0.25">
      <c r="G935" s="698"/>
      <c r="H935" s="12"/>
      <c r="I935" s="12"/>
      <c r="J935" s="12"/>
      <c r="K935" s="12"/>
      <c r="L935" s="12"/>
      <c r="M935" s="11"/>
      <c r="N935" s="11"/>
      <c r="O935" s="11"/>
      <c r="P935" s="11"/>
    </row>
    <row r="936" spans="7:16" x14ac:dyDescent="0.25">
      <c r="G936" s="698"/>
      <c r="H936" s="12"/>
      <c r="I936" s="12"/>
      <c r="J936" s="12"/>
      <c r="K936" s="12"/>
      <c r="L936" s="12"/>
      <c r="M936" s="11"/>
      <c r="N936" s="11"/>
      <c r="O936" s="11"/>
      <c r="P936" s="11"/>
    </row>
    <row r="937" spans="7:16" x14ac:dyDescent="0.25">
      <c r="G937" s="698"/>
      <c r="H937" s="12"/>
      <c r="I937" s="12"/>
      <c r="J937" s="12"/>
      <c r="K937" s="12"/>
      <c r="L937" s="12"/>
      <c r="M937" s="11"/>
      <c r="N937" s="11"/>
      <c r="O937" s="11"/>
      <c r="P937" s="11"/>
    </row>
    <row r="938" spans="7:16" x14ac:dyDescent="0.25">
      <c r="G938" s="698"/>
      <c r="H938" s="12"/>
      <c r="I938" s="12"/>
      <c r="J938" s="12"/>
      <c r="K938" s="12"/>
      <c r="L938" s="12"/>
      <c r="M938" s="11"/>
      <c r="N938" s="11"/>
      <c r="O938" s="11"/>
      <c r="P938" s="11"/>
    </row>
    <row r="939" spans="7:16" x14ac:dyDescent="0.25">
      <c r="G939" s="698"/>
      <c r="H939" s="12"/>
      <c r="I939" s="12"/>
      <c r="J939" s="12"/>
      <c r="K939" s="12"/>
      <c r="L939" s="12"/>
      <c r="M939" s="11"/>
      <c r="N939" s="11"/>
      <c r="O939" s="11"/>
      <c r="P939" s="11"/>
    </row>
    <row r="940" spans="7:16" x14ac:dyDescent="0.25">
      <c r="G940" s="698"/>
      <c r="H940" s="12"/>
      <c r="I940" s="12"/>
      <c r="J940" s="12"/>
      <c r="K940" s="12"/>
      <c r="L940" s="12"/>
      <c r="M940" s="11"/>
      <c r="N940" s="11"/>
      <c r="O940" s="11"/>
      <c r="P940" s="11"/>
    </row>
    <row r="941" spans="7:16" x14ac:dyDescent="0.25">
      <c r="G941" s="698"/>
      <c r="H941" s="12"/>
      <c r="I941" s="12"/>
      <c r="J941" s="12"/>
      <c r="K941" s="12"/>
      <c r="L941" s="12"/>
      <c r="M941" s="11"/>
      <c r="N941" s="11"/>
      <c r="O941" s="11"/>
      <c r="P941" s="11"/>
    </row>
    <row r="942" spans="7:16" x14ac:dyDescent="0.25">
      <c r="G942" s="698"/>
      <c r="H942" s="12"/>
      <c r="I942" s="12"/>
      <c r="J942" s="12"/>
      <c r="K942" s="12"/>
      <c r="L942" s="12"/>
      <c r="M942" s="11"/>
      <c r="N942" s="11"/>
      <c r="O942" s="11"/>
      <c r="P942" s="11"/>
    </row>
    <row r="943" spans="7:16" x14ac:dyDescent="0.25">
      <c r="G943" s="698"/>
      <c r="H943" s="12"/>
      <c r="I943" s="12"/>
      <c r="J943" s="12"/>
      <c r="K943" s="12"/>
      <c r="L943" s="12"/>
      <c r="M943" s="11"/>
      <c r="N943" s="11"/>
      <c r="O943" s="11"/>
      <c r="P943" s="11"/>
    </row>
    <row r="944" spans="7:16" x14ac:dyDescent="0.25">
      <c r="G944" s="698"/>
      <c r="H944" s="12"/>
      <c r="I944" s="12"/>
      <c r="J944" s="12"/>
      <c r="K944" s="12"/>
      <c r="L944" s="12"/>
      <c r="M944" s="11"/>
      <c r="N944" s="11"/>
      <c r="O944" s="11"/>
      <c r="P944" s="11"/>
    </row>
    <row r="945" spans="7:16" x14ac:dyDescent="0.25">
      <c r="G945" s="698"/>
      <c r="H945" s="12"/>
      <c r="I945" s="12"/>
      <c r="J945" s="12"/>
      <c r="K945" s="12"/>
      <c r="L945" s="12"/>
      <c r="M945" s="11"/>
      <c r="N945" s="11"/>
      <c r="O945" s="11"/>
      <c r="P945" s="11"/>
    </row>
    <row r="946" spans="7:16" x14ac:dyDescent="0.25">
      <c r="G946" s="698"/>
      <c r="H946" s="12"/>
      <c r="I946" s="12"/>
      <c r="J946" s="12"/>
      <c r="K946" s="12"/>
      <c r="L946" s="12"/>
      <c r="M946" s="11"/>
      <c r="N946" s="11"/>
      <c r="O946" s="11"/>
      <c r="P946" s="11"/>
    </row>
    <row r="947" spans="7:16" x14ac:dyDescent="0.25">
      <c r="G947" s="698"/>
      <c r="H947" s="12"/>
      <c r="I947" s="12"/>
      <c r="J947" s="12"/>
      <c r="K947" s="12"/>
      <c r="L947" s="12"/>
      <c r="M947" s="11"/>
      <c r="N947" s="11"/>
      <c r="O947" s="11"/>
      <c r="P947" s="11"/>
    </row>
    <row r="948" spans="7:16" x14ac:dyDescent="0.25">
      <c r="G948" s="698"/>
      <c r="H948" s="12"/>
      <c r="I948" s="12"/>
      <c r="J948" s="12"/>
      <c r="K948" s="12"/>
      <c r="L948" s="12"/>
      <c r="M948" s="11"/>
      <c r="N948" s="11"/>
      <c r="O948" s="11"/>
      <c r="P948" s="11"/>
    </row>
    <row r="949" spans="7:16" x14ac:dyDescent="0.25">
      <c r="G949" s="698"/>
      <c r="H949" s="12"/>
      <c r="I949" s="12"/>
      <c r="J949" s="12"/>
      <c r="K949" s="12"/>
      <c r="L949" s="12"/>
      <c r="M949" s="11"/>
      <c r="N949" s="11"/>
      <c r="O949" s="11"/>
      <c r="P949" s="11"/>
    </row>
    <row r="950" spans="7:16" x14ac:dyDescent="0.25">
      <c r="G950" s="698"/>
      <c r="H950" s="12"/>
      <c r="I950" s="12"/>
      <c r="J950" s="12"/>
      <c r="K950" s="12"/>
      <c r="L950" s="12"/>
      <c r="M950" s="11"/>
      <c r="N950" s="11"/>
      <c r="O950" s="11"/>
      <c r="P950" s="11"/>
    </row>
    <row r="951" spans="7:16" x14ac:dyDescent="0.25">
      <c r="G951" s="698"/>
      <c r="H951" s="12"/>
      <c r="I951" s="12"/>
      <c r="J951" s="12"/>
      <c r="K951" s="12"/>
      <c r="L951" s="12"/>
      <c r="M951" s="11"/>
      <c r="N951" s="11"/>
      <c r="O951" s="11"/>
      <c r="P951" s="11"/>
    </row>
    <row r="952" spans="7:16" x14ac:dyDescent="0.25">
      <c r="G952" s="698"/>
      <c r="H952" s="12"/>
      <c r="I952" s="12"/>
      <c r="J952" s="12"/>
      <c r="K952" s="12"/>
      <c r="L952" s="12"/>
      <c r="M952" s="11"/>
      <c r="N952" s="11"/>
      <c r="O952" s="11"/>
      <c r="P952" s="11"/>
    </row>
    <row r="953" spans="7:16" x14ac:dyDescent="0.25">
      <c r="G953" s="698"/>
      <c r="H953" s="12"/>
      <c r="I953" s="12"/>
      <c r="J953" s="12"/>
      <c r="K953" s="12"/>
      <c r="L953" s="12"/>
      <c r="M953" s="11"/>
      <c r="N953" s="11"/>
      <c r="O953" s="11"/>
      <c r="P953" s="11"/>
    </row>
    <row r="954" spans="7:16" x14ac:dyDescent="0.25">
      <c r="G954" s="698"/>
      <c r="H954" s="12"/>
      <c r="I954" s="12"/>
      <c r="J954" s="12"/>
      <c r="K954" s="12"/>
      <c r="L954" s="12"/>
      <c r="M954" s="11"/>
      <c r="N954" s="11"/>
      <c r="O954" s="11"/>
      <c r="P954" s="11"/>
    </row>
    <row r="955" spans="7:16" x14ac:dyDescent="0.25">
      <c r="G955" s="698"/>
      <c r="H955" s="12"/>
      <c r="I955" s="12"/>
      <c r="J955" s="12"/>
      <c r="K955" s="12"/>
      <c r="L955" s="12"/>
      <c r="M955" s="11"/>
      <c r="N955" s="11"/>
      <c r="O955" s="11"/>
      <c r="P955" s="11"/>
    </row>
    <row r="956" spans="7:16" x14ac:dyDescent="0.25">
      <c r="G956" s="698"/>
      <c r="H956" s="12"/>
      <c r="I956" s="12"/>
      <c r="J956" s="12"/>
      <c r="K956" s="12"/>
      <c r="L956" s="12"/>
      <c r="M956" s="11"/>
      <c r="N956" s="11"/>
      <c r="O956" s="11"/>
      <c r="P956" s="11"/>
    </row>
    <row r="957" spans="7:16" x14ac:dyDescent="0.25">
      <c r="G957" s="698"/>
      <c r="H957" s="12"/>
      <c r="I957" s="12"/>
      <c r="J957" s="12"/>
      <c r="K957" s="12"/>
      <c r="L957" s="12"/>
      <c r="M957" s="11"/>
      <c r="N957" s="11"/>
      <c r="O957" s="11"/>
      <c r="P957" s="11"/>
    </row>
    <row r="958" spans="7:16" x14ac:dyDescent="0.25">
      <c r="G958" s="698"/>
      <c r="H958" s="12"/>
      <c r="I958" s="12"/>
      <c r="J958" s="12"/>
      <c r="K958" s="12"/>
      <c r="L958" s="12"/>
      <c r="M958" s="11"/>
      <c r="N958" s="11"/>
      <c r="O958" s="11"/>
      <c r="P958" s="11"/>
    </row>
    <row r="959" spans="7:16" x14ac:dyDescent="0.25">
      <c r="G959" s="698"/>
      <c r="H959" s="12"/>
      <c r="I959" s="12"/>
      <c r="J959" s="12"/>
      <c r="K959" s="12"/>
      <c r="L959" s="12"/>
      <c r="M959" s="11"/>
      <c r="N959" s="11"/>
      <c r="O959" s="11"/>
      <c r="P959" s="11"/>
    </row>
    <row r="960" spans="7:16" x14ac:dyDescent="0.25">
      <c r="G960" s="698"/>
      <c r="H960" s="12"/>
      <c r="I960" s="12"/>
      <c r="J960" s="12"/>
      <c r="K960" s="12"/>
      <c r="L960" s="12"/>
      <c r="M960" s="11"/>
      <c r="N960" s="11"/>
      <c r="O960" s="11"/>
      <c r="P960" s="11"/>
    </row>
    <row r="961" spans="7:16" x14ac:dyDescent="0.25">
      <c r="G961" s="698"/>
      <c r="H961" s="12"/>
      <c r="I961" s="12"/>
      <c r="J961" s="12"/>
      <c r="K961" s="12"/>
      <c r="L961" s="12"/>
      <c r="M961" s="11"/>
      <c r="N961" s="11"/>
      <c r="O961" s="11"/>
      <c r="P961" s="11"/>
    </row>
    <row r="962" spans="7:16" x14ac:dyDescent="0.25">
      <c r="G962" s="698"/>
      <c r="H962" s="12"/>
      <c r="I962" s="12"/>
      <c r="J962" s="12"/>
      <c r="K962" s="12"/>
      <c r="L962" s="12"/>
      <c r="M962" s="11"/>
      <c r="N962" s="11"/>
      <c r="O962" s="11"/>
      <c r="P962" s="11"/>
    </row>
    <row r="963" spans="7:16" x14ac:dyDescent="0.25">
      <c r="G963" s="698"/>
      <c r="H963" s="12"/>
      <c r="I963" s="12"/>
      <c r="J963" s="12"/>
      <c r="K963" s="12"/>
      <c r="L963" s="12"/>
      <c r="M963" s="11"/>
      <c r="N963" s="11"/>
      <c r="O963" s="11"/>
      <c r="P963" s="11"/>
    </row>
    <row r="964" spans="7:16" x14ac:dyDescent="0.25">
      <c r="G964" s="698"/>
      <c r="H964" s="12"/>
      <c r="I964" s="12"/>
      <c r="J964" s="12"/>
      <c r="K964" s="12"/>
      <c r="L964" s="12"/>
      <c r="M964" s="11"/>
      <c r="N964" s="11"/>
      <c r="O964" s="11"/>
      <c r="P964" s="11"/>
    </row>
    <row r="965" spans="7:16" x14ac:dyDescent="0.25">
      <c r="G965" s="698"/>
      <c r="H965" s="12"/>
      <c r="I965" s="12"/>
      <c r="J965" s="12"/>
      <c r="K965" s="12"/>
      <c r="L965" s="12"/>
      <c r="M965" s="11"/>
      <c r="N965" s="11"/>
      <c r="O965" s="11"/>
      <c r="P965" s="11"/>
    </row>
    <row r="966" spans="7:16" x14ac:dyDescent="0.25">
      <c r="G966" s="698"/>
      <c r="H966" s="12"/>
      <c r="I966" s="12"/>
      <c r="J966" s="12"/>
      <c r="K966" s="12"/>
      <c r="L966" s="12"/>
      <c r="M966" s="11"/>
      <c r="N966" s="11"/>
      <c r="O966" s="11"/>
      <c r="P966" s="11"/>
    </row>
    <row r="967" spans="7:16" x14ac:dyDescent="0.25">
      <c r="G967" s="698"/>
      <c r="H967" s="12"/>
      <c r="I967" s="12"/>
      <c r="J967" s="12"/>
      <c r="K967" s="12"/>
      <c r="L967" s="12"/>
      <c r="M967" s="11"/>
      <c r="N967" s="11"/>
      <c r="O967" s="11"/>
      <c r="P967" s="11"/>
    </row>
    <row r="968" spans="7:16" x14ac:dyDescent="0.25">
      <c r="G968" s="698"/>
      <c r="H968" s="12"/>
      <c r="I968" s="12"/>
      <c r="J968" s="12"/>
      <c r="K968" s="12"/>
      <c r="L968" s="12"/>
      <c r="M968" s="11"/>
      <c r="N968" s="11"/>
      <c r="O968" s="11"/>
      <c r="P968" s="11"/>
    </row>
    <row r="969" spans="7:16" x14ac:dyDescent="0.25">
      <c r="G969" s="698"/>
      <c r="H969" s="12"/>
      <c r="I969" s="12"/>
      <c r="J969" s="12"/>
      <c r="K969" s="12"/>
      <c r="L969" s="12"/>
      <c r="M969" s="11"/>
      <c r="N969" s="11"/>
      <c r="O969" s="11"/>
      <c r="P969" s="11"/>
    </row>
    <row r="970" spans="7:16" x14ac:dyDescent="0.25">
      <c r="G970" s="698"/>
      <c r="H970" s="12"/>
      <c r="I970" s="12"/>
      <c r="J970" s="12"/>
      <c r="K970" s="12"/>
      <c r="L970" s="12"/>
      <c r="M970" s="11"/>
      <c r="N970" s="11"/>
      <c r="O970" s="11"/>
      <c r="P970" s="11"/>
    </row>
    <row r="971" spans="7:16" x14ac:dyDescent="0.25">
      <c r="G971" s="698"/>
      <c r="H971" s="12"/>
      <c r="I971" s="12"/>
      <c r="J971" s="12"/>
      <c r="K971" s="12"/>
      <c r="L971" s="12"/>
      <c r="M971" s="11"/>
      <c r="N971" s="11"/>
      <c r="O971" s="11"/>
      <c r="P971" s="11"/>
    </row>
    <row r="972" spans="7:16" x14ac:dyDescent="0.25">
      <c r="G972" s="698"/>
      <c r="H972" s="12"/>
      <c r="I972" s="12"/>
      <c r="J972" s="12"/>
      <c r="K972" s="12"/>
      <c r="L972" s="12"/>
      <c r="M972" s="11"/>
      <c r="N972" s="11"/>
      <c r="O972" s="11"/>
      <c r="P972" s="11"/>
    </row>
    <row r="973" spans="7:16" x14ac:dyDescent="0.25">
      <c r="G973" s="698"/>
      <c r="H973" s="12"/>
      <c r="I973" s="12"/>
      <c r="J973" s="12"/>
      <c r="K973" s="12"/>
      <c r="L973" s="12"/>
      <c r="M973" s="11"/>
      <c r="N973" s="11"/>
      <c r="O973" s="11"/>
      <c r="P973" s="11"/>
    </row>
    <row r="974" spans="7:16" x14ac:dyDescent="0.25">
      <c r="G974" s="698"/>
      <c r="H974" s="12"/>
      <c r="I974" s="12"/>
      <c r="J974" s="12"/>
      <c r="K974" s="12"/>
      <c r="L974" s="12"/>
      <c r="M974" s="11"/>
      <c r="N974" s="11"/>
      <c r="O974" s="11"/>
      <c r="P974" s="11"/>
    </row>
    <row r="975" spans="7:16" x14ac:dyDescent="0.25">
      <c r="G975" s="698"/>
      <c r="H975" s="12"/>
      <c r="I975" s="12"/>
      <c r="J975" s="12"/>
      <c r="K975" s="12"/>
      <c r="L975" s="12"/>
      <c r="M975" s="11"/>
      <c r="N975" s="11"/>
      <c r="O975" s="11"/>
      <c r="P975" s="11"/>
    </row>
    <row r="976" spans="7:16" x14ac:dyDescent="0.25">
      <c r="G976" s="698"/>
      <c r="H976" s="12"/>
      <c r="I976" s="12"/>
      <c r="J976" s="12"/>
      <c r="K976" s="12"/>
      <c r="L976" s="12"/>
      <c r="M976" s="11"/>
      <c r="N976" s="11"/>
      <c r="O976" s="11"/>
      <c r="P976" s="11"/>
    </row>
    <row r="977" spans="7:16" x14ac:dyDescent="0.25">
      <c r="G977" s="698"/>
      <c r="H977" s="12"/>
      <c r="I977" s="12"/>
      <c r="J977" s="12"/>
      <c r="K977" s="12"/>
      <c r="L977" s="12"/>
      <c r="M977" s="11"/>
      <c r="N977" s="11"/>
      <c r="O977" s="11"/>
      <c r="P977" s="11"/>
    </row>
    <row r="978" spans="7:16" x14ac:dyDescent="0.25">
      <c r="G978" s="698"/>
      <c r="H978" s="12"/>
      <c r="I978" s="12"/>
      <c r="J978" s="12"/>
      <c r="K978" s="12"/>
      <c r="L978" s="12"/>
      <c r="M978" s="11"/>
      <c r="N978" s="11"/>
      <c r="O978" s="11"/>
      <c r="P978" s="11"/>
    </row>
    <row r="979" spans="7:16" x14ac:dyDescent="0.25">
      <c r="G979" s="698"/>
      <c r="H979" s="12"/>
      <c r="I979" s="12"/>
      <c r="J979" s="12"/>
      <c r="K979" s="12"/>
      <c r="L979" s="12"/>
      <c r="M979" s="11"/>
      <c r="N979" s="11"/>
      <c r="O979" s="11"/>
      <c r="P979" s="11"/>
    </row>
    <row r="980" spans="7:16" x14ac:dyDescent="0.25">
      <c r="G980" s="698"/>
      <c r="H980" s="12"/>
      <c r="I980" s="12"/>
      <c r="J980" s="12"/>
      <c r="K980" s="12"/>
      <c r="L980" s="12"/>
      <c r="M980" s="11"/>
      <c r="N980" s="11"/>
      <c r="O980" s="11"/>
      <c r="P980" s="11"/>
    </row>
    <row r="981" spans="7:16" x14ac:dyDescent="0.25">
      <c r="G981" s="698"/>
      <c r="H981" s="12"/>
      <c r="I981" s="12"/>
      <c r="J981" s="12"/>
      <c r="K981" s="12"/>
      <c r="L981" s="12"/>
      <c r="M981" s="11"/>
      <c r="N981" s="11"/>
      <c r="O981" s="11"/>
      <c r="P981" s="11"/>
    </row>
    <row r="982" spans="7:16" x14ac:dyDescent="0.25">
      <c r="G982" s="698"/>
      <c r="H982" s="12"/>
      <c r="I982" s="12"/>
      <c r="J982" s="12"/>
      <c r="K982" s="12"/>
      <c r="L982" s="12"/>
      <c r="M982" s="11"/>
      <c r="N982" s="11"/>
      <c r="O982" s="11"/>
      <c r="P982" s="11"/>
    </row>
    <row r="983" spans="7:16" x14ac:dyDescent="0.25">
      <c r="G983" s="698"/>
      <c r="H983" s="12"/>
      <c r="I983" s="12"/>
      <c r="J983" s="12"/>
      <c r="K983" s="12"/>
      <c r="L983" s="12"/>
      <c r="M983" s="11"/>
      <c r="N983" s="11"/>
      <c r="O983" s="11"/>
      <c r="P983" s="11"/>
    </row>
    <row r="984" spans="7:16" x14ac:dyDescent="0.25">
      <c r="G984" s="698"/>
      <c r="H984" s="12"/>
      <c r="I984" s="12"/>
      <c r="J984" s="12"/>
      <c r="K984" s="12"/>
      <c r="L984" s="12"/>
      <c r="M984" s="11"/>
      <c r="N984" s="11"/>
      <c r="O984" s="11"/>
      <c r="P984" s="11"/>
    </row>
    <row r="985" spans="7:16" x14ac:dyDescent="0.25">
      <c r="G985" s="698"/>
      <c r="H985" s="12"/>
      <c r="I985" s="12"/>
      <c r="J985" s="12"/>
      <c r="K985" s="12"/>
      <c r="L985" s="12"/>
      <c r="M985" s="11"/>
      <c r="N985" s="11"/>
      <c r="O985" s="11"/>
      <c r="P985" s="11"/>
    </row>
    <row r="986" spans="7:16" x14ac:dyDescent="0.25">
      <c r="G986" s="698"/>
      <c r="H986" s="12"/>
      <c r="I986" s="12"/>
      <c r="J986" s="12"/>
      <c r="K986" s="12"/>
      <c r="L986" s="12"/>
      <c r="M986" s="11"/>
      <c r="N986" s="11"/>
      <c r="O986" s="11"/>
      <c r="P986" s="11"/>
    </row>
    <row r="987" spans="7:16" x14ac:dyDescent="0.25">
      <c r="G987" s="698"/>
      <c r="H987" s="12"/>
      <c r="I987" s="12"/>
      <c r="J987" s="12"/>
      <c r="K987" s="12"/>
      <c r="L987" s="12"/>
      <c r="M987" s="11"/>
      <c r="N987" s="11"/>
      <c r="O987" s="11"/>
      <c r="P987" s="11"/>
    </row>
    <row r="988" spans="7:16" x14ac:dyDescent="0.25">
      <c r="G988" s="698"/>
      <c r="H988" s="12"/>
      <c r="I988" s="12"/>
      <c r="J988" s="12"/>
      <c r="K988" s="12"/>
      <c r="L988" s="12"/>
      <c r="M988" s="11"/>
      <c r="N988" s="11"/>
      <c r="O988" s="11"/>
      <c r="P988" s="11"/>
    </row>
    <row r="989" spans="7:16" x14ac:dyDescent="0.25">
      <c r="G989" s="698"/>
      <c r="H989" s="12"/>
      <c r="I989" s="12"/>
      <c r="J989" s="12"/>
      <c r="K989" s="12"/>
      <c r="L989" s="12"/>
      <c r="M989" s="11"/>
      <c r="N989" s="11"/>
      <c r="O989" s="11"/>
      <c r="P989" s="11"/>
    </row>
    <row r="990" spans="7:16" x14ac:dyDescent="0.25">
      <c r="G990" s="698"/>
      <c r="H990" s="12"/>
      <c r="I990" s="12"/>
      <c r="J990" s="12"/>
      <c r="K990" s="12"/>
      <c r="L990" s="12"/>
      <c r="M990" s="11"/>
      <c r="N990" s="11"/>
      <c r="O990" s="11"/>
      <c r="P990" s="11"/>
    </row>
    <row r="991" spans="7:16" x14ac:dyDescent="0.25">
      <c r="G991" s="698"/>
      <c r="H991" s="12"/>
      <c r="I991" s="12"/>
      <c r="J991" s="12"/>
      <c r="K991" s="12"/>
      <c r="L991" s="12"/>
      <c r="M991" s="11"/>
      <c r="N991" s="11"/>
      <c r="O991" s="11"/>
      <c r="P991" s="11"/>
    </row>
    <row r="992" spans="7:16" x14ac:dyDescent="0.25">
      <c r="G992" s="698"/>
      <c r="H992" s="12"/>
      <c r="I992" s="12"/>
      <c r="J992" s="12"/>
      <c r="K992" s="12"/>
      <c r="L992" s="12"/>
      <c r="M992" s="11"/>
      <c r="N992" s="11"/>
      <c r="O992" s="11"/>
      <c r="P992" s="11"/>
    </row>
    <row r="993" spans="7:16" x14ac:dyDescent="0.25">
      <c r="G993" s="698"/>
      <c r="H993" s="12"/>
      <c r="I993" s="12"/>
      <c r="J993" s="12"/>
      <c r="K993" s="12"/>
      <c r="L993" s="12"/>
      <c r="M993" s="11"/>
      <c r="N993" s="11"/>
      <c r="O993" s="11"/>
      <c r="P993" s="11"/>
    </row>
    <row r="994" spans="7:16" x14ac:dyDescent="0.25">
      <c r="G994" s="698"/>
      <c r="H994" s="12"/>
      <c r="I994" s="12"/>
      <c r="J994" s="12"/>
      <c r="K994" s="12"/>
      <c r="L994" s="12"/>
      <c r="M994" s="11"/>
      <c r="N994" s="11"/>
      <c r="O994" s="11"/>
      <c r="P994" s="11"/>
    </row>
    <row r="995" spans="7:16" x14ac:dyDescent="0.25">
      <c r="G995" s="698"/>
      <c r="H995" s="12"/>
      <c r="I995" s="12"/>
      <c r="J995" s="12"/>
      <c r="K995" s="12"/>
      <c r="L995" s="12"/>
      <c r="M995" s="11"/>
      <c r="N995" s="11"/>
      <c r="O995" s="11"/>
      <c r="P995" s="11"/>
    </row>
    <row r="996" spans="7:16" x14ac:dyDescent="0.25">
      <c r="G996" s="698"/>
      <c r="H996" s="12"/>
      <c r="I996" s="12"/>
      <c r="J996" s="12"/>
      <c r="K996" s="12"/>
      <c r="L996" s="12"/>
      <c r="M996" s="11"/>
      <c r="N996" s="11"/>
      <c r="O996" s="11"/>
      <c r="P996" s="11"/>
    </row>
    <row r="997" spans="7:16" x14ac:dyDescent="0.25">
      <c r="G997" s="698"/>
      <c r="H997" s="12"/>
      <c r="I997" s="12"/>
      <c r="J997" s="12"/>
      <c r="K997" s="12"/>
      <c r="L997" s="12"/>
      <c r="M997" s="11"/>
      <c r="N997" s="11"/>
      <c r="O997" s="11"/>
      <c r="P997" s="11"/>
    </row>
    <row r="998" spans="7:16" x14ac:dyDescent="0.25">
      <c r="G998" s="698"/>
      <c r="H998" s="12"/>
      <c r="I998" s="12"/>
      <c r="J998" s="12"/>
      <c r="K998" s="12"/>
      <c r="L998" s="12"/>
      <c r="M998" s="11"/>
      <c r="N998" s="11"/>
      <c r="O998" s="11"/>
      <c r="P998" s="11"/>
    </row>
    <row r="999" spans="7:16" x14ac:dyDescent="0.25">
      <c r="G999" s="698"/>
      <c r="H999" s="12"/>
      <c r="I999" s="12"/>
      <c r="J999" s="12"/>
      <c r="K999" s="12"/>
      <c r="L999" s="12"/>
      <c r="M999" s="11"/>
      <c r="N999" s="11"/>
      <c r="O999" s="11"/>
      <c r="P999" s="11"/>
    </row>
    <row r="1000" spans="7:16" x14ac:dyDescent="0.25">
      <c r="G1000" s="698"/>
      <c r="H1000" s="12"/>
      <c r="I1000" s="12"/>
      <c r="J1000" s="12"/>
      <c r="K1000" s="12"/>
      <c r="L1000" s="12"/>
      <c r="M1000" s="11"/>
      <c r="N1000" s="11"/>
      <c r="O1000" s="11"/>
      <c r="P1000" s="11"/>
    </row>
    <row r="1001" spans="7:16" x14ac:dyDescent="0.25">
      <c r="G1001" s="698"/>
      <c r="H1001" s="12"/>
      <c r="I1001" s="12"/>
      <c r="J1001" s="12"/>
      <c r="K1001" s="12"/>
      <c r="L1001" s="12"/>
      <c r="M1001" s="11"/>
      <c r="N1001" s="11"/>
      <c r="O1001" s="11"/>
      <c r="P1001" s="11"/>
    </row>
    <row r="1002" spans="7:16" x14ac:dyDescent="0.25">
      <c r="G1002" s="698"/>
      <c r="H1002" s="12"/>
      <c r="I1002" s="12"/>
      <c r="J1002" s="12"/>
      <c r="K1002" s="12"/>
      <c r="L1002" s="12"/>
      <c r="M1002" s="11"/>
      <c r="N1002" s="11"/>
      <c r="O1002" s="11"/>
      <c r="P1002" s="11"/>
    </row>
    <row r="1003" spans="7:16" x14ac:dyDescent="0.25">
      <c r="G1003" s="698"/>
      <c r="H1003" s="12"/>
      <c r="I1003" s="12"/>
      <c r="J1003" s="12"/>
      <c r="K1003" s="12"/>
      <c r="L1003" s="12"/>
      <c r="M1003" s="11"/>
      <c r="N1003" s="11"/>
      <c r="O1003" s="11"/>
      <c r="P1003" s="11"/>
    </row>
    <row r="1004" spans="7:16" x14ac:dyDescent="0.25">
      <c r="G1004" s="698"/>
      <c r="H1004" s="12"/>
      <c r="I1004" s="12"/>
      <c r="J1004" s="12"/>
      <c r="K1004" s="12"/>
      <c r="L1004" s="12"/>
      <c r="M1004" s="11"/>
      <c r="N1004" s="11"/>
      <c r="O1004" s="11"/>
      <c r="P1004" s="11"/>
    </row>
    <row r="1005" spans="7:16" x14ac:dyDescent="0.25">
      <c r="G1005" s="698"/>
      <c r="H1005" s="12"/>
      <c r="I1005" s="12"/>
      <c r="J1005" s="12"/>
      <c r="K1005" s="12"/>
      <c r="L1005" s="12"/>
      <c r="M1005" s="11"/>
      <c r="N1005" s="11"/>
      <c r="O1005" s="11"/>
      <c r="P1005" s="11"/>
    </row>
    <row r="1006" spans="7:16" x14ac:dyDescent="0.25">
      <c r="G1006" s="698"/>
      <c r="H1006" s="12"/>
      <c r="I1006" s="12"/>
      <c r="J1006" s="12"/>
      <c r="K1006" s="12"/>
      <c r="L1006" s="12"/>
      <c r="M1006" s="11"/>
      <c r="N1006" s="11"/>
      <c r="O1006" s="11"/>
      <c r="P1006" s="11"/>
    </row>
    <row r="1007" spans="7:16" x14ac:dyDescent="0.25">
      <c r="G1007" s="698"/>
      <c r="H1007" s="12"/>
      <c r="I1007" s="12"/>
      <c r="J1007" s="12"/>
      <c r="K1007" s="12"/>
      <c r="L1007" s="12"/>
      <c r="M1007" s="11"/>
      <c r="N1007" s="11"/>
      <c r="O1007" s="11"/>
      <c r="P1007" s="11"/>
    </row>
    <row r="1008" spans="7:16" x14ac:dyDescent="0.25">
      <c r="G1008" s="698"/>
      <c r="H1008" s="12"/>
      <c r="I1008" s="12"/>
      <c r="J1008" s="12"/>
      <c r="K1008" s="12"/>
      <c r="L1008" s="12"/>
      <c r="M1008" s="11"/>
      <c r="N1008" s="11"/>
      <c r="O1008" s="11"/>
      <c r="P1008" s="11"/>
    </row>
    <row r="1009" spans="7:16" x14ac:dyDescent="0.25">
      <c r="G1009" s="698"/>
      <c r="H1009" s="12"/>
      <c r="I1009" s="12"/>
      <c r="J1009" s="12"/>
      <c r="K1009" s="12"/>
      <c r="L1009" s="12"/>
      <c r="M1009" s="11"/>
      <c r="N1009" s="11"/>
      <c r="O1009" s="11"/>
      <c r="P1009" s="11"/>
    </row>
    <row r="1010" spans="7:16" x14ac:dyDescent="0.25">
      <c r="G1010" s="698"/>
      <c r="H1010" s="12"/>
      <c r="I1010" s="12"/>
      <c r="J1010" s="12"/>
      <c r="K1010" s="12"/>
      <c r="L1010" s="12"/>
      <c r="M1010" s="11"/>
      <c r="N1010" s="11"/>
      <c r="O1010" s="11"/>
      <c r="P1010" s="11"/>
    </row>
    <row r="1011" spans="7:16" x14ac:dyDescent="0.25">
      <c r="G1011" s="698"/>
      <c r="H1011" s="12"/>
      <c r="I1011" s="12"/>
      <c r="J1011" s="12"/>
      <c r="K1011" s="12"/>
      <c r="L1011" s="12"/>
      <c r="M1011" s="11"/>
      <c r="N1011" s="11"/>
      <c r="O1011" s="11"/>
      <c r="P1011" s="11"/>
    </row>
    <row r="1012" spans="7:16" x14ac:dyDescent="0.25">
      <c r="G1012" s="698"/>
      <c r="H1012" s="12"/>
      <c r="I1012" s="12"/>
      <c r="J1012" s="12"/>
      <c r="K1012" s="12"/>
      <c r="L1012" s="12"/>
      <c r="M1012" s="11"/>
      <c r="N1012" s="11"/>
      <c r="O1012" s="11"/>
      <c r="P1012" s="11"/>
    </row>
    <row r="1013" spans="7:16" x14ac:dyDescent="0.25">
      <c r="G1013" s="698"/>
      <c r="H1013" s="12"/>
      <c r="I1013" s="12"/>
      <c r="J1013" s="12"/>
      <c r="K1013" s="12"/>
      <c r="L1013" s="12"/>
      <c r="M1013" s="11"/>
      <c r="N1013" s="11"/>
      <c r="O1013" s="11"/>
      <c r="P1013" s="11"/>
    </row>
    <row r="1014" spans="7:16" x14ac:dyDescent="0.25">
      <c r="G1014" s="698"/>
      <c r="H1014" s="12"/>
      <c r="I1014" s="12"/>
      <c r="J1014" s="12"/>
      <c r="K1014" s="12"/>
      <c r="L1014" s="12"/>
      <c r="M1014" s="11"/>
      <c r="N1014" s="11"/>
      <c r="O1014" s="11"/>
      <c r="P1014" s="11"/>
    </row>
    <row r="1015" spans="7:16" x14ac:dyDescent="0.25">
      <c r="G1015" s="698"/>
      <c r="H1015" s="12"/>
      <c r="I1015" s="12"/>
      <c r="J1015" s="12"/>
      <c r="K1015" s="12"/>
      <c r="L1015" s="12"/>
      <c r="M1015" s="11"/>
      <c r="N1015" s="11"/>
      <c r="O1015" s="11"/>
      <c r="P1015" s="11"/>
    </row>
    <row r="1016" spans="7:16" x14ac:dyDescent="0.25">
      <c r="G1016" s="698"/>
      <c r="H1016" s="12"/>
      <c r="I1016" s="12"/>
      <c r="J1016" s="12"/>
      <c r="K1016" s="12"/>
      <c r="L1016" s="12"/>
      <c r="M1016" s="11"/>
      <c r="N1016" s="11"/>
      <c r="O1016" s="11"/>
      <c r="P1016" s="11"/>
    </row>
    <row r="1017" spans="7:16" x14ac:dyDescent="0.25">
      <c r="G1017" s="698"/>
      <c r="H1017" s="12"/>
      <c r="I1017" s="12"/>
      <c r="J1017" s="12"/>
      <c r="K1017" s="12"/>
      <c r="L1017" s="12"/>
      <c r="M1017" s="11"/>
      <c r="N1017" s="11"/>
      <c r="O1017" s="11"/>
      <c r="P1017" s="11"/>
    </row>
    <row r="1018" spans="7:16" x14ac:dyDescent="0.25">
      <c r="G1018" s="698"/>
      <c r="H1018" s="12"/>
      <c r="I1018" s="12"/>
      <c r="J1018" s="12"/>
      <c r="K1018" s="12"/>
      <c r="L1018" s="12"/>
      <c r="M1018" s="11"/>
      <c r="N1018" s="11"/>
      <c r="O1018" s="11"/>
      <c r="P1018" s="11"/>
    </row>
    <row r="1019" spans="7:16" x14ac:dyDescent="0.25">
      <c r="G1019" s="698"/>
      <c r="H1019" s="12"/>
      <c r="I1019" s="12"/>
      <c r="J1019" s="12"/>
      <c r="K1019" s="12"/>
      <c r="L1019" s="12"/>
      <c r="M1019" s="11"/>
      <c r="N1019" s="11"/>
      <c r="O1019" s="11"/>
      <c r="P1019" s="11"/>
    </row>
    <row r="1020" spans="7:16" x14ac:dyDescent="0.25">
      <c r="G1020" s="698"/>
      <c r="H1020" s="12"/>
      <c r="I1020" s="12"/>
      <c r="J1020" s="12"/>
      <c r="K1020" s="12"/>
      <c r="L1020" s="12"/>
      <c r="M1020" s="11"/>
      <c r="N1020" s="11"/>
      <c r="O1020" s="11"/>
      <c r="P1020" s="11"/>
    </row>
    <row r="1021" spans="7:16" x14ac:dyDescent="0.25">
      <c r="G1021" s="698"/>
      <c r="H1021" s="12"/>
      <c r="I1021" s="12"/>
      <c r="J1021" s="12"/>
      <c r="K1021" s="12"/>
      <c r="L1021" s="12"/>
      <c r="M1021" s="11"/>
      <c r="N1021" s="11"/>
      <c r="O1021" s="11"/>
      <c r="P1021" s="11"/>
    </row>
    <row r="1022" spans="7:16" x14ac:dyDescent="0.25">
      <c r="G1022" s="698"/>
      <c r="H1022" s="12"/>
      <c r="I1022" s="12"/>
      <c r="J1022" s="12"/>
      <c r="K1022" s="12"/>
      <c r="L1022" s="12"/>
      <c r="M1022" s="11"/>
      <c r="N1022" s="11"/>
      <c r="O1022" s="11"/>
      <c r="P1022" s="11"/>
    </row>
    <row r="1023" spans="7:16" x14ac:dyDescent="0.25">
      <c r="G1023" s="698"/>
      <c r="H1023" s="12"/>
      <c r="I1023" s="12"/>
      <c r="J1023" s="12"/>
      <c r="K1023" s="12"/>
      <c r="L1023" s="12"/>
      <c r="M1023" s="11"/>
      <c r="N1023" s="11"/>
      <c r="O1023" s="11"/>
      <c r="P1023" s="11"/>
    </row>
    <row r="1024" spans="7:16" x14ac:dyDescent="0.25">
      <c r="G1024" s="698"/>
      <c r="H1024" s="12"/>
      <c r="I1024" s="12"/>
      <c r="J1024" s="12"/>
      <c r="K1024" s="12"/>
      <c r="L1024" s="12"/>
      <c r="M1024" s="11"/>
      <c r="N1024" s="11"/>
      <c r="O1024" s="11"/>
      <c r="P1024" s="11"/>
    </row>
    <row r="1025" spans="7:16" x14ac:dyDescent="0.25">
      <c r="G1025" s="698"/>
      <c r="H1025" s="12"/>
      <c r="I1025" s="12"/>
      <c r="J1025" s="12"/>
      <c r="K1025" s="12"/>
      <c r="L1025" s="12"/>
      <c r="M1025" s="11"/>
      <c r="N1025" s="11"/>
      <c r="O1025" s="11"/>
      <c r="P1025" s="11"/>
    </row>
    <row r="1026" spans="7:16" x14ac:dyDescent="0.25">
      <c r="G1026" s="698"/>
      <c r="H1026" s="12"/>
      <c r="I1026" s="12"/>
      <c r="J1026" s="12"/>
      <c r="K1026" s="12"/>
      <c r="L1026" s="12"/>
      <c r="M1026" s="11"/>
      <c r="N1026" s="11"/>
      <c r="O1026" s="11"/>
      <c r="P1026" s="11"/>
    </row>
    <row r="1027" spans="7:16" x14ac:dyDescent="0.25">
      <c r="G1027" s="698"/>
      <c r="H1027" s="12"/>
      <c r="I1027" s="12"/>
      <c r="J1027" s="12"/>
      <c r="K1027" s="12"/>
      <c r="L1027" s="12"/>
      <c r="M1027" s="11"/>
      <c r="N1027" s="11"/>
      <c r="O1027" s="11"/>
      <c r="P1027" s="11"/>
    </row>
    <row r="1028" spans="7:16" x14ac:dyDescent="0.25">
      <c r="G1028" s="698"/>
      <c r="H1028" s="12"/>
      <c r="I1028" s="12"/>
      <c r="J1028" s="12"/>
      <c r="K1028" s="12"/>
      <c r="L1028" s="12"/>
      <c r="M1028" s="11"/>
      <c r="N1028" s="11"/>
      <c r="O1028" s="11"/>
      <c r="P1028" s="11"/>
    </row>
    <row r="1029" spans="7:16" x14ac:dyDescent="0.25">
      <c r="G1029" s="698"/>
      <c r="H1029" s="12"/>
      <c r="I1029" s="12"/>
      <c r="J1029" s="12"/>
      <c r="K1029" s="12"/>
      <c r="L1029" s="12"/>
      <c r="M1029" s="11"/>
      <c r="N1029" s="11"/>
      <c r="O1029" s="11"/>
      <c r="P1029" s="11"/>
    </row>
    <row r="1030" spans="7:16" x14ac:dyDescent="0.25">
      <c r="G1030" s="698"/>
      <c r="H1030" s="12"/>
      <c r="I1030" s="12"/>
      <c r="J1030" s="12"/>
      <c r="K1030" s="12"/>
      <c r="L1030" s="12"/>
      <c r="M1030" s="11"/>
      <c r="N1030" s="11"/>
      <c r="O1030" s="11"/>
      <c r="P1030" s="11"/>
    </row>
    <row r="1031" spans="7:16" x14ac:dyDescent="0.25">
      <c r="G1031" s="698"/>
      <c r="H1031" s="12"/>
      <c r="I1031" s="12"/>
      <c r="J1031" s="12"/>
      <c r="K1031" s="12"/>
      <c r="L1031" s="12"/>
      <c r="M1031" s="11"/>
      <c r="N1031" s="11"/>
      <c r="O1031" s="11"/>
      <c r="P1031" s="11"/>
    </row>
    <row r="1032" spans="7:16" x14ac:dyDescent="0.25">
      <c r="G1032" s="698"/>
      <c r="H1032" s="12"/>
      <c r="I1032" s="12"/>
      <c r="J1032" s="12"/>
      <c r="K1032" s="12"/>
      <c r="L1032" s="12"/>
      <c r="M1032" s="11"/>
      <c r="N1032" s="11"/>
      <c r="O1032" s="11"/>
      <c r="P1032" s="11"/>
    </row>
    <row r="1033" spans="7:16" x14ac:dyDescent="0.25">
      <c r="G1033" s="698"/>
      <c r="H1033" s="12"/>
      <c r="I1033" s="12"/>
      <c r="J1033" s="12"/>
      <c r="K1033" s="12"/>
      <c r="L1033" s="12"/>
      <c r="M1033" s="11"/>
      <c r="N1033" s="11"/>
      <c r="O1033" s="11"/>
      <c r="P1033" s="11"/>
    </row>
    <row r="1034" spans="7:16" x14ac:dyDescent="0.25">
      <c r="G1034" s="698"/>
      <c r="H1034" s="12"/>
      <c r="I1034" s="12"/>
      <c r="J1034" s="12"/>
      <c r="K1034" s="12"/>
      <c r="L1034" s="12"/>
      <c r="M1034" s="11"/>
      <c r="N1034" s="11"/>
      <c r="O1034" s="11"/>
      <c r="P1034" s="11"/>
    </row>
    <row r="1035" spans="7:16" x14ac:dyDescent="0.25">
      <c r="G1035" s="698"/>
      <c r="H1035" s="12"/>
      <c r="I1035" s="12"/>
      <c r="J1035" s="12"/>
      <c r="K1035" s="12"/>
      <c r="L1035" s="12"/>
      <c r="M1035" s="11"/>
      <c r="N1035" s="11"/>
      <c r="O1035" s="11"/>
      <c r="P1035" s="11"/>
    </row>
    <row r="1036" spans="7:16" x14ac:dyDescent="0.25">
      <c r="G1036" s="698"/>
      <c r="H1036" s="12"/>
      <c r="I1036" s="12"/>
      <c r="J1036" s="12"/>
      <c r="K1036" s="12"/>
      <c r="L1036" s="12"/>
      <c r="M1036" s="11"/>
      <c r="N1036" s="11"/>
      <c r="O1036" s="11"/>
      <c r="P1036" s="11"/>
    </row>
    <row r="1037" spans="7:16" x14ac:dyDescent="0.25">
      <c r="G1037" s="698"/>
      <c r="H1037" s="12"/>
      <c r="I1037" s="12"/>
      <c r="J1037" s="12"/>
      <c r="K1037" s="12"/>
      <c r="L1037" s="12"/>
      <c r="M1037" s="11"/>
      <c r="N1037" s="11"/>
      <c r="O1037" s="11"/>
      <c r="P1037" s="11"/>
    </row>
    <row r="1038" spans="7:16" x14ac:dyDescent="0.25">
      <c r="G1038" s="698"/>
      <c r="H1038" s="12"/>
      <c r="I1038" s="12"/>
      <c r="J1038" s="12"/>
      <c r="K1038" s="12"/>
      <c r="L1038" s="12"/>
      <c r="M1038" s="11"/>
      <c r="N1038" s="11"/>
      <c r="O1038" s="11"/>
      <c r="P1038" s="11"/>
    </row>
    <row r="1039" spans="7:16" x14ac:dyDescent="0.25">
      <c r="G1039" s="698"/>
      <c r="H1039" s="12"/>
      <c r="I1039" s="12"/>
      <c r="J1039" s="12"/>
      <c r="K1039" s="12"/>
      <c r="L1039" s="12"/>
      <c r="M1039" s="11"/>
      <c r="N1039" s="11"/>
      <c r="O1039" s="11"/>
      <c r="P1039" s="11"/>
    </row>
    <row r="1040" spans="7:16" x14ac:dyDescent="0.25">
      <c r="G1040" s="698"/>
      <c r="H1040" s="12"/>
      <c r="I1040" s="12"/>
      <c r="J1040" s="12"/>
      <c r="K1040" s="12"/>
      <c r="L1040" s="12"/>
      <c r="M1040" s="11"/>
      <c r="N1040" s="11"/>
      <c r="O1040" s="11"/>
      <c r="P1040" s="11"/>
    </row>
    <row r="1041" spans="7:16" x14ac:dyDescent="0.25">
      <c r="G1041" s="698"/>
      <c r="H1041" s="12"/>
      <c r="I1041" s="12"/>
      <c r="J1041" s="12"/>
      <c r="K1041" s="12"/>
      <c r="L1041" s="12"/>
      <c r="M1041" s="11"/>
      <c r="N1041" s="11"/>
      <c r="O1041" s="11"/>
      <c r="P1041" s="11"/>
    </row>
    <row r="1042" spans="7:16" x14ac:dyDescent="0.25">
      <c r="G1042" s="698"/>
      <c r="H1042" s="12"/>
      <c r="I1042" s="12"/>
      <c r="J1042" s="12"/>
      <c r="K1042" s="12"/>
      <c r="L1042" s="12"/>
      <c r="M1042" s="11"/>
      <c r="N1042" s="11"/>
      <c r="O1042" s="11"/>
      <c r="P1042" s="11"/>
    </row>
    <row r="1043" spans="7:16" x14ac:dyDescent="0.25">
      <c r="G1043" s="698"/>
      <c r="H1043" s="12"/>
      <c r="I1043" s="12"/>
      <c r="J1043" s="12"/>
      <c r="K1043" s="12"/>
      <c r="L1043" s="12"/>
      <c r="M1043" s="11"/>
      <c r="N1043" s="11"/>
      <c r="O1043" s="11"/>
      <c r="P1043" s="11"/>
    </row>
    <row r="1044" spans="7:16" x14ac:dyDescent="0.25">
      <c r="G1044" s="698"/>
      <c r="H1044" s="12"/>
      <c r="I1044" s="12"/>
      <c r="J1044" s="12"/>
      <c r="K1044" s="12"/>
      <c r="L1044" s="12"/>
      <c r="M1044" s="11"/>
      <c r="N1044" s="11"/>
      <c r="O1044" s="11"/>
      <c r="P1044" s="11"/>
    </row>
    <row r="1045" spans="7:16" x14ac:dyDescent="0.25">
      <c r="G1045" s="698"/>
      <c r="H1045" s="12"/>
      <c r="I1045" s="12"/>
      <c r="J1045" s="12"/>
      <c r="K1045" s="12"/>
      <c r="L1045" s="12"/>
      <c r="M1045" s="11"/>
      <c r="N1045" s="11"/>
      <c r="O1045" s="11"/>
      <c r="P1045" s="11"/>
    </row>
    <row r="1046" spans="7:16" x14ac:dyDescent="0.25">
      <c r="G1046" s="698"/>
      <c r="H1046" s="12"/>
      <c r="I1046" s="12"/>
      <c r="J1046" s="12"/>
      <c r="K1046" s="12"/>
      <c r="L1046" s="12"/>
      <c r="M1046" s="11"/>
      <c r="N1046" s="11"/>
      <c r="O1046" s="11"/>
      <c r="P1046" s="11"/>
    </row>
    <row r="1047" spans="7:16" x14ac:dyDescent="0.25">
      <c r="G1047" s="698"/>
      <c r="H1047" s="12"/>
      <c r="I1047" s="12"/>
      <c r="J1047" s="12"/>
      <c r="K1047" s="12"/>
      <c r="L1047" s="12"/>
      <c r="M1047" s="11"/>
      <c r="N1047" s="11"/>
      <c r="O1047" s="11"/>
      <c r="P1047" s="11"/>
    </row>
    <row r="1048" spans="7:16" x14ac:dyDescent="0.25">
      <c r="G1048" s="698"/>
      <c r="H1048" s="12"/>
      <c r="I1048" s="12"/>
      <c r="J1048" s="12"/>
      <c r="K1048" s="12"/>
      <c r="L1048" s="12"/>
      <c r="M1048" s="11"/>
      <c r="N1048" s="11"/>
      <c r="O1048" s="11"/>
      <c r="P1048" s="11"/>
    </row>
    <row r="1049" spans="7:16" x14ac:dyDescent="0.25">
      <c r="G1049" s="698"/>
      <c r="H1049" s="12"/>
      <c r="I1049" s="12"/>
      <c r="J1049" s="12"/>
      <c r="K1049" s="12"/>
      <c r="L1049" s="12"/>
      <c r="M1049" s="11"/>
      <c r="N1049" s="11"/>
      <c r="O1049" s="11"/>
      <c r="P1049" s="11"/>
    </row>
    <row r="1050" spans="7:16" x14ac:dyDescent="0.25">
      <c r="G1050" s="698"/>
      <c r="H1050" s="12"/>
      <c r="I1050" s="12"/>
      <c r="J1050" s="12"/>
      <c r="K1050" s="12"/>
      <c r="L1050" s="12"/>
      <c r="M1050" s="11"/>
      <c r="N1050" s="11"/>
      <c r="O1050" s="11"/>
      <c r="P1050" s="11"/>
    </row>
    <row r="1051" spans="7:16" x14ac:dyDescent="0.25">
      <c r="G1051" s="698"/>
      <c r="H1051" s="12"/>
      <c r="I1051" s="12"/>
      <c r="J1051" s="12"/>
      <c r="K1051" s="12"/>
      <c r="L1051" s="12"/>
      <c r="M1051" s="11"/>
      <c r="N1051" s="11"/>
      <c r="O1051" s="11"/>
      <c r="P1051" s="11"/>
    </row>
    <row r="1052" spans="7:16" x14ac:dyDescent="0.25">
      <c r="G1052" s="698"/>
      <c r="H1052" s="12"/>
      <c r="I1052" s="12"/>
      <c r="J1052" s="12"/>
      <c r="K1052" s="12"/>
      <c r="L1052" s="12"/>
      <c r="M1052" s="11"/>
      <c r="N1052" s="11"/>
      <c r="O1052" s="11"/>
      <c r="P1052" s="11"/>
    </row>
    <row r="1053" spans="7:16" x14ac:dyDescent="0.25">
      <c r="G1053" s="698"/>
      <c r="H1053" s="12"/>
      <c r="I1053" s="12"/>
      <c r="J1053" s="12"/>
      <c r="K1053" s="12"/>
      <c r="L1053" s="12"/>
      <c r="M1053" s="11"/>
      <c r="N1053" s="11"/>
      <c r="O1053" s="11"/>
      <c r="P1053" s="11"/>
    </row>
    <row r="1054" spans="7:16" x14ac:dyDescent="0.25">
      <c r="G1054" s="698"/>
      <c r="H1054" s="12"/>
      <c r="I1054" s="12"/>
      <c r="J1054" s="12"/>
      <c r="K1054" s="12"/>
      <c r="L1054" s="12"/>
      <c r="M1054" s="11"/>
      <c r="N1054" s="11"/>
      <c r="O1054" s="11"/>
      <c r="P1054" s="11"/>
    </row>
    <row r="1055" spans="7:16" x14ac:dyDescent="0.25">
      <c r="G1055" s="698"/>
      <c r="H1055" s="12"/>
      <c r="I1055" s="12"/>
      <c r="J1055" s="12"/>
      <c r="K1055" s="12"/>
      <c r="L1055" s="12"/>
      <c r="M1055" s="11"/>
      <c r="N1055" s="11"/>
      <c r="O1055" s="11"/>
      <c r="P1055" s="11"/>
    </row>
    <row r="1056" spans="7:16" x14ac:dyDescent="0.25">
      <c r="G1056" s="698"/>
      <c r="H1056" s="12"/>
      <c r="I1056" s="12"/>
      <c r="J1056" s="12"/>
      <c r="K1056" s="12"/>
      <c r="L1056" s="12"/>
      <c r="M1056" s="11"/>
      <c r="N1056" s="11"/>
      <c r="O1056" s="11"/>
      <c r="P1056" s="11"/>
    </row>
    <row r="1057" spans="7:16" x14ac:dyDescent="0.25">
      <c r="G1057" s="698"/>
      <c r="H1057" s="12"/>
      <c r="I1057" s="12"/>
      <c r="J1057" s="12"/>
      <c r="K1057" s="12"/>
      <c r="L1057" s="12"/>
      <c r="M1057" s="11"/>
      <c r="N1057" s="11"/>
      <c r="O1057" s="11"/>
      <c r="P1057" s="11"/>
    </row>
    <row r="1058" spans="7:16" x14ac:dyDescent="0.25">
      <c r="G1058" s="698"/>
      <c r="H1058" s="12"/>
      <c r="I1058" s="12"/>
      <c r="J1058" s="12"/>
      <c r="K1058" s="12"/>
      <c r="L1058" s="12"/>
      <c r="M1058" s="11"/>
      <c r="N1058" s="11"/>
      <c r="O1058" s="11"/>
      <c r="P1058" s="11"/>
    </row>
    <row r="1059" spans="7:16" x14ac:dyDescent="0.25">
      <c r="G1059" s="698"/>
      <c r="H1059" s="12"/>
      <c r="I1059" s="12"/>
      <c r="J1059" s="12"/>
      <c r="K1059" s="12"/>
      <c r="L1059" s="12"/>
      <c r="M1059" s="11"/>
      <c r="N1059" s="11"/>
      <c r="O1059" s="11"/>
      <c r="P1059" s="11"/>
    </row>
    <row r="1060" spans="7:16" x14ac:dyDescent="0.25">
      <c r="G1060" s="698"/>
      <c r="H1060" s="12"/>
      <c r="I1060" s="12"/>
      <c r="J1060" s="12"/>
      <c r="K1060" s="12"/>
      <c r="L1060" s="12"/>
      <c r="M1060" s="11"/>
      <c r="N1060" s="11"/>
      <c r="O1060" s="11"/>
      <c r="P1060" s="11"/>
    </row>
    <row r="1061" spans="7:16" x14ac:dyDescent="0.25">
      <c r="G1061" s="698"/>
      <c r="H1061" s="12"/>
      <c r="I1061" s="12"/>
      <c r="J1061" s="12"/>
      <c r="K1061" s="12"/>
      <c r="L1061" s="12"/>
      <c r="M1061" s="11"/>
      <c r="N1061" s="11"/>
      <c r="O1061" s="11"/>
      <c r="P1061" s="11"/>
    </row>
    <row r="1062" spans="7:16" x14ac:dyDescent="0.25">
      <c r="G1062" s="698"/>
      <c r="H1062" s="12"/>
      <c r="I1062" s="12"/>
      <c r="J1062" s="12"/>
      <c r="K1062" s="12"/>
      <c r="L1062" s="12"/>
      <c r="M1062" s="11"/>
      <c r="N1062" s="11"/>
      <c r="O1062" s="11"/>
      <c r="P1062" s="11"/>
    </row>
    <row r="1063" spans="7:16" x14ac:dyDescent="0.25">
      <c r="G1063" s="698"/>
      <c r="H1063" s="12"/>
      <c r="I1063" s="12"/>
      <c r="J1063" s="12"/>
      <c r="K1063" s="12"/>
      <c r="L1063" s="12"/>
      <c r="M1063" s="11"/>
      <c r="N1063" s="11"/>
      <c r="O1063" s="11"/>
      <c r="P1063" s="11"/>
    </row>
    <row r="1064" spans="7:16" x14ac:dyDescent="0.25">
      <c r="G1064" s="698"/>
      <c r="H1064" s="12"/>
      <c r="I1064" s="12"/>
      <c r="J1064" s="12"/>
      <c r="K1064" s="12"/>
      <c r="L1064" s="12"/>
      <c r="M1064" s="11"/>
      <c r="N1064" s="11"/>
      <c r="O1064" s="11"/>
      <c r="P1064" s="11"/>
    </row>
    <row r="1065" spans="7:16" x14ac:dyDescent="0.25">
      <c r="G1065" s="698"/>
      <c r="H1065" s="12"/>
      <c r="I1065" s="12"/>
      <c r="J1065" s="12"/>
      <c r="K1065" s="12"/>
      <c r="L1065" s="12"/>
      <c r="M1065" s="11"/>
      <c r="N1065" s="11"/>
      <c r="O1065" s="11"/>
      <c r="P1065" s="11"/>
    </row>
    <row r="1066" spans="7:16" x14ac:dyDescent="0.25">
      <c r="G1066" s="698"/>
      <c r="H1066" s="12"/>
      <c r="I1066" s="12"/>
      <c r="J1066" s="12"/>
      <c r="K1066" s="12"/>
      <c r="L1066" s="12"/>
      <c r="M1066" s="11"/>
      <c r="N1066" s="11"/>
      <c r="O1066" s="11"/>
      <c r="P1066" s="11"/>
    </row>
    <row r="1067" spans="7:16" x14ac:dyDescent="0.25">
      <c r="G1067" s="698"/>
      <c r="H1067" s="12"/>
      <c r="I1067" s="12"/>
      <c r="J1067" s="12"/>
      <c r="K1067" s="12"/>
      <c r="L1067" s="12"/>
      <c r="M1067" s="11"/>
      <c r="N1067" s="11"/>
      <c r="O1067" s="11"/>
      <c r="P1067" s="11"/>
    </row>
    <row r="1068" spans="7:16" x14ac:dyDescent="0.25">
      <c r="G1068" s="698"/>
      <c r="H1068" s="12"/>
      <c r="I1068" s="12"/>
      <c r="J1068" s="12"/>
      <c r="K1068" s="12"/>
      <c r="L1068" s="12"/>
      <c r="M1068" s="11"/>
      <c r="N1068" s="11"/>
      <c r="O1068" s="11"/>
      <c r="P1068" s="11"/>
    </row>
    <row r="1069" spans="7:16" x14ac:dyDescent="0.25">
      <c r="G1069" s="698"/>
      <c r="H1069" s="12"/>
      <c r="I1069" s="12"/>
      <c r="J1069" s="12"/>
      <c r="K1069" s="12"/>
      <c r="L1069" s="12"/>
      <c r="M1069" s="11"/>
      <c r="N1069" s="11"/>
      <c r="O1069" s="11"/>
      <c r="P1069" s="11"/>
    </row>
    <row r="1070" spans="7:16" x14ac:dyDescent="0.25">
      <c r="G1070" s="698"/>
      <c r="H1070" s="12"/>
      <c r="I1070" s="12"/>
      <c r="J1070" s="12"/>
      <c r="K1070" s="12"/>
      <c r="L1070" s="12"/>
      <c r="M1070" s="11"/>
      <c r="N1070" s="11"/>
      <c r="O1070" s="11"/>
      <c r="P1070" s="11"/>
    </row>
    <row r="1071" spans="7:16" x14ac:dyDescent="0.25">
      <c r="G1071" s="698"/>
      <c r="H1071" s="12"/>
      <c r="I1071" s="12"/>
      <c r="J1071" s="12"/>
      <c r="K1071" s="12"/>
      <c r="L1071" s="12"/>
      <c r="M1071" s="11"/>
      <c r="N1071" s="11"/>
      <c r="O1071" s="11"/>
      <c r="P1071" s="11"/>
    </row>
    <row r="1072" spans="7:16" x14ac:dyDescent="0.25">
      <c r="G1072" s="698"/>
      <c r="H1072" s="12"/>
      <c r="I1072" s="12"/>
      <c r="J1072" s="12"/>
      <c r="K1072" s="12"/>
      <c r="L1072" s="12"/>
      <c r="M1072" s="11"/>
      <c r="N1072" s="11"/>
      <c r="O1072" s="11"/>
      <c r="P1072" s="11"/>
    </row>
    <row r="1073" spans="7:16" x14ac:dyDescent="0.25">
      <c r="G1073" s="698"/>
      <c r="H1073" s="12"/>
      <c r="I1073" s="12"/>
      <c r="J1073" s="12"/>
      <c r="K1073" s="12"/>
      <c r="L1073" s="12"/>
      <c r="M1073" s="11"/>
      <c r="N1073" s="11"/>
      <c r="O1073" s="11"/>
      <c r="P1073" s="11"/>
    </row>
    <row r="1074" spans="7:16" x14ac:dyDescent="0.25">
      <c r="G1074" s="698"/>
      <c r="H1074" s="12"/>
      <c r="I1074" s="12"/>
      <c r="J1074" s="12"/>
      <c r="K1074" s="12"/>
      <c r="L1074" s="12"/>
      <c r="M1074" s="11"/>
      <c r="N1074" s="11"/>
      <c r="O1074" s="11"/>
      <c r="P1074" s="11"/>
    </row>
    <row r="1075" spans="7:16" x14ac:dyDescent="0.25">
      <c r="G1075" s="698"/>
      <c r="H1075" s="12"/>
      <c r="I1075" s="12"/>
      <c r="J1075" s="12"/>
      <c r="K1075" s="12"/>
      <c r="L1075" s="12"/>
      <c r="M1075" s="11"/>
      <c r="N1075" s="11"/>
      <c r="O1075" s="11"/>
      <c r="P1075" s="11"/>
    </row>
    <row r="1076" spans="7:16" x14ac:dyDescent="0.25">
      <c r="G1076" s="698"/>
      <c r="H1076" s="12"/>
      <c r="I1076" s="12"/>
      <c r="J1076" s="12"/>
      <c r="K1076" s="12"/>
      <c r="L1076" s="12"/>
      <c r="M1076" s="11"/>
      <c r="N1076" s="11"/>
      <c r="O1076" s="11"/>
      <c r="P1076" s="11"/>
    </row>
    <row r="1077" spans="7:16" x14ac:dyDescent="0.25">
      <c r="G1077" s="698"/>
      <c r="H1077" s="12"/>
      <c r="I1077" s="12"/>
      <c r="J1077" s="12"/>
      <c r="K1077" s="12"/>
      <c r="L1077" s="12"/>
      <c r="M1077" s="11"/>
      <c r="N1077" s="11"/>
      <c r="O1077" s="11"/>
      <c r="P1077" s="11"/>
    </row>
    <row r="1078" spans="7:16" x14ac:dyDescent="0.25">
      <c r="G1078" s="698"/>
      <c r="H1078" s="12"/>
      <c r="I1078" s="12"/>
      <c r="J1078" s="12"/>
      <c r="K1078" s="12"/>
      <c r="L1078" s="12"/>
      <c r="M1078" s="11"/>
      <c r="N1078" s="11"/>
      <c r="O1078" s="11"/>
      <c r="P1078" s="11"/>
    </row>
    <row r="1079" spans="7:16" x14ac:dyDescent="0.25">
      <c r="G1079" s="698"/>
      <c r="H1079" s="12"/>
      <c r="I1079" s="12"/>
      <c r="J1079" s="12"/>
      <c r="K1079" s="12"/>
      <c r="L1079" s="12"/>
      <c r="M1079" s="11"/>
      <c r="N1079" s="11"/>
      <c r="O1079" s="11"/>
      <c r="P1079" s="11"/>
    </row>
    <row r="1080" spans="7:16" x14ac:dyDescent="0.25">
      <c r="G1080" s="698"/>
      <c r="H1080" s="12"/>
      <c r="I1080" s="12"/>
      <c r="J1080" s="12"/>
      <c r="K1080" s="12"/>
      <c r="L1080" s="12"/>
      <c r="M1080" s="11"/>
      <c r="N1080" s="11"/>
      <c r="O1080" s="11"/>
      <c r="P1080" s="11"/>
    </row>
    <row r="1081" spans="7:16" x14ac:dyDescent="0.25">
      <c r="G1081" s="698"/>
      <c r="H1081" s="12"/>
      <c r="I1081" s="12"/>
      <c r="J1081" s="12"/>
      <c r="K1081" s="12"/>
      <c r="L1081" s="12"/>
      <c r="M1081" s="11"/>
      <c r="N1081" s="11"/>
      <c r="O1081" s="11"/>
      <c r="P1081" s="11"/>
    </row>
    <row r="1082" spans="7:16" x14ac:dyDescent="0.25">
      <c r="G1082" s="698"/>
      <c r="H1082" s="12"/>
      <c r="I1082" s="12"/>
      <c r="J1082" s="12"/>
      <c r="K1082" s="12"/>
      <c r="L1082" s="12"/>
      <c r="M1082" s="11"/>
      <c r="N1082" s="11"/>
      <c r="O1082" s="11"/>
      <c r="P1082" s="11"/>
    </row>
    <row r="1083" spans="7:16" x14ac:dyDescent="0.25">
      <c r="G1083" s="698"/>
      <c r="H1083" s="12"/>
      <c r="I1083" s="12"/>
      <c r="J1083" s="12"/>
      <c r="K1083" s="12"/>
      <c r="L1083" s="12"/>
      <c r="M1083" s="11"/>
      <c r="N1083" s="11"/>
      <c r="O1083" s="11"/>
      <c r="P1083" s="11"/>
    </row>
    <row r="1084" spans="7:16" x14ac:dyDescent="0.25">
      <c r="G1084" s="698"/>
      <c r="H1084" s="12"/>
      <c r="I1084" s="12"/>
      <c r="J1084" s="12"/>
      <c r="K1084" s="12"/>
      <c r="L1084" s="12"/>
      <c r="M1084" s="11"/>
      <c r="N1084" s="11"/>
      <c r="O1084" s="11"/>
      <c r="P1084" s="11"/>
    </row>
    <row r="1085" spans="7:16" x14ac:dyDescent="0.25">
      <c r="G1085" s="698"/>
      <c r="H1085" s="12"/>
      <c r="I1085" s="12"/>
      <c r="J1085" s="12"/>
      <c r="K1085" s="12"/>
      <c r="L1085" s="12"/>
      <c r="M1085" s="11"/>
      <c r="N1085" s="11"/>
      <c r="O1085" s="11"/>
      <c r="P1085" s="11"/>
    </row>
    <row r="1086" spans="7:16" x14ac:dyDescent="0.25">
      <c r="G1086" s="698"/>
      <c r="H1086" s="12"/>
      <c r="I1086" s="12"/>
      <c r="J1086" s="12"/>
      <c r="K1086" s="12"/>
      <c r="L1086" s="12"/>
      <c r="M1086" s="11"/>
      <c r="N1086" s="11"/>
      <c r="O1086" s="11"/>
      <c r="P1086" s="11"/>
    </row>
    <row r="1087" spans="7:16" x14ac:dyDescent="0.25">
      <c r="G1087" s="698"/>
      <c r="H1087" s="12"/>
      <c r="I1087" s="12"/>
      <c r="J1087" s="12"/>
      <c r="K1087" s="12"/>
      <c r="L1087" s="12"/>
      <c r="M1087" s="11"/>
      <c r="N1087" s="11"/>
      <c r="O1087" s="11"/>
      <c r="P1087" s="11"/>
    </row>
    <row r="1088" spans="7:16" x14ac:dyDescent="0.25">
      <c r="G1088" s="698"/>
      <c r="H1088" s="12"/>
      <c r="I1088" s="12"/>
      <c r="J1088" s="12"/>
      <c r="K1088" s="12"/>
      <c r="L1088" s="12"/>
      <c r="M1088" s="11"/>
      <c r="N1088" s="11"/>
      <c r="O1088" s="11"/>
      <c r="P1088" s="11"/>
    </row>
    <row r="1089" spans="7:16" x14ac:dyDescent="0.25">
      <c r="G1089" s="698"/>
      <c r="H1089" s="12"/>
      <c r="I1089" s="12"/>
      <c r="J1089" s="12"/>
      <c r="K1089" s="12"/>
      <c r="L1089" s="12"/>
      <c r="M1089" s="11"/>
      <c r="N1089" s="11"/>
      <c r="O1089" s="11"/>
      <c r="P1089" s="11"/>
    </row>
    <row r="1090" spans="7:16" x14ac:dyDescent="0.25">
      <c r="G1090" s="698"/>
      <c r="H1090" s="12"/>
      <c r="I1090" s="12"/>
      <c r="J1090" s="12"/>
      <c r="K1090" s="12"/>
      <c r="L1090" s="12"/>
      <c r="M1090" s="11"/>
      <c r="N1090" s="11"/>
      <c r="O1090" s="11"/>
      <c r="P1090" s="11"/>
    </row>
    <row r="1091" spans="7:16" x14ac:dyDescent="0.25">
      <c r="G1091" s="698"/>
      <c r="H1091" s="12"/>
      <c r="I1091" s="12"/>
      <c r="J1091" s="12"/>
      <c r="K1091" s="12"/>
      <c r="L1091" s="12"/>
      <c r="M1091" s="11"/>
      <c r="N1091" s="11"/>
      <c r="O1091" s="11"/>
      <c r="P1091" s="11"/>
    </row>
    <row r="1092" spans="7:16" x14ac:dyDescent="0.25">
      <c r="G1092" s="698"/>
      <c r="H1092" s="12"/>
      <c r="I1092" s="12"/>
      <c r="J1092" s="12"/>
      <c r="K1092" s="12"/>
      <c r="L1092" s="12"/>
      <c r="M1092" s="11"/>
      <c r="N1092" s="11"/>
      <c r="O1092" s="11"/>
      <c r="P1092" s="11"/>
    </row>
    <row r="1093" spans="7:16" x14ac:dyDescent="0.25">
      <c r="G1093" s="698"/>
      <c r="H1093" s="12"/>
      <c r="I1093" s="12"/>
      <c r="J1093" s="12"/>
      <c r="K1093" s="12"/>
      <c r="L1093" s="12"/>
      <c r="M1093" s="11"/>
      <c r="N1093" s="11"/>
      <c r="O1093" s="11"/>
      <c r="P1093" s="11"/>
    </row>
    <row r="1094" spans="7:16" x14ac:dyDescent="0.25">
      <c r="G1094" s="698"/>
      <c r="H1094" s="12"/>
      <c r="I1094" s="12"/>
      <c r="J1094" s="12"/>
      <c r="K1094" s="12"/>
      <c r="L1094" s="12"/>
      <c r="M1094" s="11"/>
      <c r="N1094" s="11"/>
      <c r="O1094" s="11"/>
      <c r="P1094" s="11"/>
    </row>
    <row r="1095" spans="7:16" x14ac:dyDescent="0.25">
      <c r="G1095" s="698"/>
      <c r="H1095" s="12"/>
      <c r="I1095" s="12"/>
      <c r="J1095" s="12"/>
      <c r="K1095" s="12"/>
      <c r="L1095" s="12"/>
      <c r="M1095" s="11"/>
      <c r="N1095" s="11"/>
      <c r="O1095" s="11"/>
      <c r="P1095" s="11"/>
    </row>
    <row r="1096" spans="7:16" x14ac:dyDescent="0.25">
      <c r="G1096" s="698"/>
      <c r="H1096" s="12"/>
      <c r="I1096" s="12"/>
      <c r="J1096" s="12"/>
      <c r="K1096" s="12"/>
      <c r="L1096" s="12"/>
      <c r="M1096" s="11"/>
      <c r="N1096" s="11"/>
      <c r="O1096" s="11"/>
      <c r="P1096" s="11"/>
    </row>
    <row r="1097" spans="7:16" x14ac:dyDescent="0.25">
      <c r="G1097" s="698"/>
      <c r="H1097" s="12"/>
      <c r="I1097" s="12"/>
      <c r="J1097" s="12"/>
      <c r="K1097" s="12"/>
      <c r="L1097" s="12"/>
      <c r="M1097" s="11"/>
      <c r="N1097" s="11"/>
      <c r="O1097" s="11"/>
      <c r="P1097" s="11"/>
    </row>
    <row r="1098" spans="7:16" x14ac:dyDescent="0.25">
      <c r="G1098" s="698"/>
      <c r="H1098" s="12"/>
      <c r="I1098" s="12"/>
      <c r="J1098" s="12"/>
      <c r="K1098" s="12"/>
      <c r="L1098" s="12"/>
      <c r="M1098" s="11"/>
      <c r="N1098" s="11"/>
      <c r="O1098" s="11"/>
      <c r="P1098" s="11"/>
    </row>
    <row r="1099" spans="7:16" x14ac:dyDescent="0.25">
      <c r="G1099" s="698"/>
      <c r="H1099" s="12"/>
      <c r="I1099" s="12"/>
      <c r="J1099" s="12"/>
      <c r="K1099" s="12"/>
      <c r="L1099" s="12"/>
      <c r="M1099" s="11"/>
      <c r="N1099" s="11"/>
      <c r="O1099" s="11"/>
      <c r="P1099" s="11"/>
    </row>
    <row r="1100" spans="7:16" x14ac:dyDescent="0.25">
      <c r="G1100" s="698"/>
      <c r="H1100" s="12"/>
      <c r="I1100" s="12"/>
      <c r="J1100" s="12"/>
      <c r="K1100" s="12"/>
      <c r="L1100" s="12"/>
      <c r="M1100" s="11"/>
      <c r="N1100" s="11"/>
      <c r="O1100" s="11"/>
      <c r="P1100" s="11"/>
    </row>
    <row r="1101" spans="7:16" x14ac:dyDescent="0.25">
      <c r="G1101" s="698"/>
      <c r="H1101" s="12"/>
      <c r="I1101" s="12"/>
      <c r="J1101" s="12"/>
      <c r="K1101" s="12"/>
      <c r="L1101" s="12"/>
      <c r="M1101" s="11"/>
      <c r="N1101" s="11"/>
      <c r="O1101" s="11"/>
      <c r="P1101" s="11"/>
    </row>
    <row r="1102" spans="7:16" x14ac:dyDescent="0.25">
      <c r="G1102" s="698"/>
      <c r="H1102" s="12"/>
      <c r="I1102" s="12"/>
      <c r="J1102" s="12"/>
      <c r="K1102" s="12"/>
      <c r="L1102" s="12"/>
      <c r="M1102" s="11"/>
      <c r="N1102" s="11"/>
      <c r="O1102" s="11"/>
      <c r="P1102" s="11"/>
    </row>
    <row r="1103" spans="7:16" x14ac:dyDescent="0.25">
      <c r="G1103" s="698"/>
      <c r="H1103" s="12"/>
      <c r="I1103" s="12"/>
      <c r="J1103" s="12"/>
      <c r="K1103" s="12"/>
      <c r="L1103" s="12"/>
      <c r="M1103" s="11"/>
      <c r="N1103" s="11"/>
      <c r="O1103" s="11"/>
      <c r="P1103" s="11"/>
    </row>
    <row r="1104" spans="7:16" x14ac:dyDescent="0.25">
      <c r="G1104" s="698"/>
      <c r="H1104" s="12"/>
      <c r="I1104" s="12"/>
      <c r="J1104" s="12"/>
      <c r="K1104" s="12"/>
      <c r="L1104" s="12"/>
      <c r="M1104" s="11"/>
      <c r="N1104" s="11"/>
      <c r="O1104" s="11"/>
      <c r="P1104" s="11"/>
    </row>
    <row r="1105" spans="7:16" x14ac:dyDescent="0.25">
      <c r="G1105" s="698"/>
      <c r="H1105" s="12"/>
      <c r="I1105" s="12"/>
      <c r="J1105" s="12"/>
      <c r="K1105" s="12"/>
      <c r="L1105" s="12"/>
      <c r="M1105" s="11"/>
      <c r="N1105" s="11"/>
      <c r="O1105" s="11"/>
      <c r="P1105" s="11"/>
    </row>
    <row r="1106" spans="7:16" x14ac:dyDescent="0.25">
      <c r="G1106" s="698"/>
      <c r="H1106" s="12"/>
      <c r="I1106" s="12"/>
      <c r="J1106" s="12"/>
      <c r="K1106" s="12"/>
      <c r="L1106" s="12"/>
      <c r="M1106" s="11"/>
      <c r="N1106" s="11"/>
      <c r="O1106" s="11"/>
      <c r="P1106" s="11"/>
    </row>
    <row r="1107" spans="7:16" x14ac:dyDescent="0.25">
      <c r="G1107" s="698"/>
      <c r="H1107" s="12"/>
      <c r="I1107" s="12"/>
      <c r="J1107" s="12"/>
      <c r="K1107" s="12"/>
      <c r="L1107" s="12"/>
      <c r="M1107" s="11"/>
      <c r="N1107" s="11"/>
      <c r="O1107" s="11"/>
      <c r="P1107" s="11"/>
    </row>
    <row r="1108" spans="7:16" x14ac:dyDescent="0.25">
      <c r="G1108" s="698"/>
      <c r="H1108" s="12"/>
      <c r="I1108" s="12"/>
      <c r="J1108" s="12"/>
      <c r="K1108" s="12"/>
      <c r="L1108" s="12"/>
      <c r="M1108" s="11"/>
      <c r="N1108" s="11"/>
      <c r="O1108" s="11"/>
      <c r="P1108" s="11"/>
    </row>
    <row r="1109" spans="7:16" x14ac:dyDescent="0.25">
      <c r="G1109" s="698"/>
      <c r="H1109" s="12"/>
      <c r="I1109" s="12"/>
      <c r="J1109" s="12"/>
      <c r="K1109" s="12"/>
      <c r="L1109" s="12"/>
      <c r="M1109" s="11"/>
      <c r="N1109" s="11"/>
      <c r="O1109" s="11"/>
      <c r="P1109" s="11"/>
    </row>
    <row r="1110" spans="7:16" x14ac:dyDescent="0.25">
      <c r="G1110" s="698"/>
      <c r="H1110" s="12"/>
      <c r="I1110" s="12"/>
      <c r="J1110" s="12"/>
      <c r="K1110" s="12"/>
      <c r="L1110" s="12"/>
      <c r="M1110" s="11"/>
      <c r="N1110" s="11"/>
      <c r="O1110" s="11"/>
      <c r="P1110" s="11"/>
    </row>
    <row r="1111" spans="7:16" x14ac:dyDescent="0.25">
      <c r="G1111" s="698"/>
      <c r="H1111" s="12"/>
      <c r="I1111" s="12"/>
      <c r="J1111" s="12"/>
      <c r="K1111" s="12"/>
      <c r="L1111" s="12"/>
      <c r="M1111" s="11"/>
      <c r="N1111" s="11"/>
      <c r="O1111" s="11"/>
      <c r="P1111" s="11"/>
    </row>
    <row r="1112" spans="7:16" x14ac:dyDescent="0.25">
      <c r="G1112" s="698"/>
      <c r="H1112" s="12"/>
      <c r="I1112" s="12"/>
      <c r="J1112" s="12"/>
      <c r="K1112" s="12"/>
      <c r="L1112" s="12"/>
      <c r="M1112" s="11"/>
      <c r="N1112" s="11"/>
      <c r="O1112" s="11"/>
      <c r="P1112" s="11"/>
    </row>
    <row r="1113" spans="7:16" x14ac:dyDescent="0.25">
      <c r="G1113" s="698"/>
      <c r="H1113" s="12"/>
      <c r="I1113" s="12"/>
      <c r="J1113" s="12"/>
      <c r="K1113" s="12"/>
      <c r="L1113" s="12"/>
      <c r="M1113" s="11"/>
      <c r="N1113" s="11"/>
      <c r="O1113" s="11"/>
      <c r="P1113" s="11"/>
    </row>
    <row r="1114" spans="7:16" x14ac:dyDescent="0.25">
      <c r="G1114" s="698"/>
      <c r="H1114" s="12"/>
      <c r="I1114" s="12"/>
      <c r="J1114" s="12"/>
      <c r="K1114" s="12"/>
      <c r="L1114" s="12"/>
      <c r="M1114" s="11"/>
      <c r="N1114" s="11"/>
      <c r="O1114" s="11"/>
      <c r="P1114" s="11"/>
    </row>
    <row r="1115" spans="7:16" x14ac:dyDescent="0.25">
      <c r="G1115" s="698"/>
      <c r="H1115" s="12"/>
      <c r="I1115" s="12"/>
      <c r="J1115" s="12"/>
      <c r="K1115" s="12"/>
      <c r="L1115" s="12"/>
      <c r="M1115" s="11"/>
      <c r="N1115" s="11"/>
      <c r="O1115" s="11"/>
      <c r="P1115" s="11"/>
    </row>
    <row r="1116" spans="7:16" x14ac:dyDescent="0.25">
      <c r="G1116" s="698"/>
      <c r="H1116" s="12"/>
      <c r="I1116" s="12"/>
      <c r="J1116" s="12"/>
      <c r="K1116" s="12"/>
      <c r="L1116" s="12"/>
      <c r="M1116" s="11"/>
      <c r="N1116" s="11"/>
      <c r="O1116" s="11"/>
      <c r="P1116" s="11"/>
    </row>
    <row r="1117" spans="7:16" x14ac:dyDescent="0.25">
      <c r="G1117" s="698"/>
      <c r="H1117" s="12"/>
      <c r="I1117" s="12"/>
      <c r="J1117" s="12"/>
      <c r="K1117" s="12"/>
      <c r="L1117" s="12"/>
      <c r="M1117" s="11"/>
      <c r="N1117" s="11"/>
      <c r="O1117" s="11"/>
      <c r="P1117" s="11"/>
    </row>
    <row r="1118" spans="7:16" x14ac:dyDescent="0.25">
      <c r="G1118" s="698"/>
      <c r="H1118" s="12"/>
      <c r="I1118" s="12"/>
      <c r="J1118" s="12"/>
      <c r="K1118" s="12"/>
      <c r="L1118" s="12"/>
      <c r="M1118" s="11"/>
      <c r="N1118" s="11"/>
      <c r="O1118" s="11"/>
      <c r="P1118" s="11"/>
    </row>
    <row r="1119" spans="7:16" x14ac:dyDescent="0.25">
      <c r="G1119" s="698"/>
      <c r="H1119" s="12"/>
      <c r="I1119" s="12"/>
      <c r="J1119" s="12"/>
      <c r="K1119" s="12"/>
      <c r="L1119" s="12"/>
      <c r="M1119" s="11"/>
      <c r="N1119" s="11"/>
      <c r="O1119" s="11"/>
      <c r="P1119" s="11"/>
    </row>
    <row r="1120" spans="7:16" x14ac:dyDescent="0.25">
      <c r="G1120" s="698"/>
      <c r="H1120" s="12"/>
      <c r="I1120" s="12"/>
      <c r="J1120" s="12"/>
      <c r="K1120" s="12"/>
      <c r="L1120" s="12"/>
      <c r="M1120" s="11"/>
      <c r="N1120" s="11"/>
      <c r="O1120" s="11"/>
      <c r="P1120" s="11"/>
    </row>
    <row r="1121" spans="7:16" x14ac:dyDescent="0.25">
      <c r="G1121" s="698"/>
      <c r="H1121" s="12"/>
      <c r="I1121" s="12"/>
      <c r="J1121" s="12"/>
      <c r="K1121" s="12"/>
      <c r="L1121" s="12"/>
      <c r="M1121" s="11"/>
      <c r="N1121" s="11"/>
      <c r="O1121" s="11"/>
      <c r="P1121" s="11"/>
    </row>
    <row r="1122" spans="7:16" x14ac:dyDescent="0.25">
      <c r="G1122" s="698"/>
      <c r="H1122" s="12"/>
      <c r="I1122" s="12"/>
      <c r="J1122" s="12"/>
      <c r="K1122" s="12"/>
      <c r="L1122" s="12"/>
      <c r="M1122" s="11"/>
      <c r="N1122" s="11"/>
      <c r="O1122" s="11"/>
      <c r="P1122" s="11"/>
    </row>
    <row r="1123" spans="7:16" x14ac:dyDescent="0.25">
      <c r="G1123" s="698"/>
      <c r="H1123" s="12"/>
      <c r="I1123" s="12"/>
      <c r="J1123" s="12"/>
      <c r="K1123" s="12"/>
      <c r="L1123" s="12"/>
      <c r="M1123" s="11"/>
      <c r="N1123" s="11"/>
      <c r="O1123" s="11"/>
      <c r="P1123" s="11"/>
    </row>
    <row r="1124" spans="7:16" x14ac:dyDescent="0.25">
      <c r="G1124" s="698"/>
      <c r="H1124" s="12"/>
      <c r="I1124" s="12"/>
      <c r="J1124" s="12"/>
      <c r="K1124" s="12"/>
      <c r="L1124" s="12"/>
      <c r="M1124" s="11"/>
      <c r="N1124" s="11"/>
      <c r="O1124" s="11"/>
      <c r="P1124" s="11"/>
    </row>
    <row r="1125" spans="7:16" x14ac:dyDescent="0.25">
      <c r="G1125" s="698"/>
      <c r="H1125" s="12"/>
      <c r="I1125" s="12"/>
      <c r="J1125" s="12"/>
      <c r="K1125" s="12"/>
      <c r="L1125" s="12"/>
      <c r="M1125" s="11"/>
      <c r="N1125" s="11"/>
      <c r="O1125" s="11"/>
      <c r="P1125" s="11"/>
    </row>
    <row r="1126" spans="7:16" x14ac:dyDescent="0.25">
      <c r="G1126" s="698"/>
      <c r="H1126" s="12"/>
      <c r="I1126" s="12"/>
      <c r="J1126" s="12"/>
      <c r="K1126" s="12"/>
      <c r="L1126" s="12"/>
      <c r="M1126" s="11"/>
      <c r="N1126" s="11"/>
      <c r="O1126" s="11"/>
      <c r="P1126" s="11"/>
    </row>
    <row r="1127" spans="7:16" x14ac:dyDescent="0.25">
      <c r="G1127" s="698"/>
      <c r="H1127" s="12"/>
      <c r="I1127" s="12"/>
      <c r="J1127" s="12"/>
      <c r="K1127" s="12"/>
      <c r="L1127" s="12"/>
      <c r="M1127" s="11"/>
      <c r="N1127" s="11"/>
      <c r="O1127" s="11"/>
      <c r="P1127" s="11"/>
    </row>
    <row r="1128" spans="7:16" x14ac:dyDescent="0.25">
      <c r="G1128" s="698"/>
      <c r="H1128" s="12"/>
      <c r="I1128" s="12"/>
      <c r="J1128" s="12"/>
      <c r="K1128" s="12"/>
      <c r="L1128" s="12"/>
      <c r="M1128" s="11"/>
      <c r="N1128" s="11"/>
      <c r="O1128" s="11"/>
      <c r="P1128" s="11"/>
    </row>
    <row r="1129" spans="7:16" x14ac:dyDescent="0.25">
      <c r="G1129" s="698"/>
      <c r="H1129" s="12"/>
      <c r="I1129" s="12"/>
      <c r="J1129" s="12"/>
      <c r="K1129" s="12"/>
      <c r="L1129" s="12"/>
      <c r="M1129" s="11"/>
      <c r="N1129" s="11"/>
      <c r="O1129" s="11"/>
      <c r="P1129" s="11"/>
    </row>
    <row r="1130" spans="7:16" x14ac:dyDescent="0.25">
      <c r="G1130" s="698"/>
      <c r="H1130" s="12"/>
      <c r="I1130" s="12"/>
      <c r="J1130" s="12"/>
      <c r="K1130" s="12"/>
      <c r="L1130" s="12"/>
      <c r="M1130" s="11"/>
      <c r="N1130" s="11"/>
      <c r="O1130" s="11"/>
      <c r="P1130" s="11"/>
    </row>
    <row r="1131" spans="7:16" x14ac:dyDescent="0.25">
      <c r="G1131" s="698"/>
      <c r="H1131" s="12"/>
      <c r="I1131" s="12"/>
      <c r="J1131" s="12"/>
      <c r="K1131" s="12"/>
      <c r="L1131" s="12"/>
      <c r="M1131" s="11"/>
      <c r="N1131" s="11"/>
      <c r="O1131" s="11"/>
      <c r="P1131" s="11"/>
    </row>
    <row r="1132" spans="7:16" x14ac:dyDescent="0.25">
      <c r="G1132" s="698"/>
      <c r="H1132" s="12"/>
      <c r="I1132" s="12"/>
      <c r="J1132" s="12"/>
      <c r="K1132" s="12"/>
      <c r="L1132" s="12"/>
      <c r="M1132" s="11"/>
      <c r="N1132" s="11"/>
      <c r="O1132" s="11"/>
      <c r="P1132" s="11"/>
    </row>
    <row r="1133" spans="7:16" x14ac:dyDescent="0.25">
      <c r="G1133" s="698"/>
      <c r="H1133" s="12"/>
      <c r="I1133" s="12"/>
      <c r="J1133" s="12"/>
      <c r="K1133" s="12"/>
      <c r="L1133" s="12"/>
      <c r="M1133" s="11"/>
      <c r="N1133" s="11"/>
      <c r="O1133" s="11"/>
      <c r="P1133" s="11"/>
    </row>
    <row r="1134" spans="7:16" x14ac:dyDescent="0.25">
      <c r="G1134" s="698"/>
      <c r="H1134" s="12"/>
      <c r="I1134" s="12"/>
      <c r="J1134" s="12"/>
      <c r="K1134" s="12"/>
      <c r="L1134" s="12"/>
      <c r="M1134" s="11"/>
      <c r="N1134" s="11"/>
      <c r="O1134" s="11"/>
      <c r="P1134" s="11"/>
    </row>
    <row r="1135" spans="7:16" x14ac:dyDescent="0.25">
      <c r="G1135" s="698"/>
      <c r="H1135" s="12"/>
      <c r="I1135" s="12"/>
      <c r="J1135" s="12"/>
      <c r="K1135" s="12"/>
      <c r="L1135" s="12"/>
      <c r="M1135" s="11"/>
      <c r="N1135" s="11"/>
      <c r="O1135" s="11"/>
      <c r="P1135" s="11"/>
    </row>
    <row r="1136" spans="7:16" x14ac:dyDescent="0.25">
      <c r="G1136" s="698"/>
      <c r="H1136" s="12"/>
      <c r="I1136" s="12"/>
      <c r="J1136" s="12"/>
      <c r="K1136" s="12"/>
      <c r="L1136" s="12"/>
      <c r="M1136" s="11"/>
      <c r="N1136" s="11"/>
      <c r="O1136" s="11"/>
      <c r="P1136" s="11"/>
    </row>
    <row r="1137" spans="7:16" x14ac:dyDescent="0.25">
      <c r="G1137" s="698"/>
      <c r="H1137" s="12"/>
      <c r="I1137" s="12"/>
      <c r="J1137" s="12"/>
      <c r="K1137" s="12"/>
      <c r="L1137" s="12"/>
      <c r="M1137" s="11"/>
      <c r="N1137" s="11"/>
      <c r="O1137" s="11"/>
      <c r="P1137" s="11"/>
    </row>
    <row r="1138" spans="7:16" x14ac:dyDescent="0.25">
      <c r="G1138" s="698"/>
      <c r="H1138" s="12"/>
      <c r="I1138" s="12"/>
      <c r="J1138" s="12"/>
      <c r="K1138" s="12"/>
      <c r="L1138" s="12"/>
      <c r="M1138" s="11"/>
      <c r="N1138" s="11"/>
      <c r="O1138" s="11"/>
      <c r="P1138" s="11"/>
    </row>
    <row r="1139" spans="7:16" x14ac:dyDescent="0.25">
      <c r="G1139" s="698"/>
      <c r="H1139" s="12"/>
      <c r="I1139" s="12"/>
      <c r="J1139" s="12"/>
      <c r="K1139" s="12"/>
      <c r="L1139" s="12"/>
      <c r="M1139" s="11"/>
      <c r="N1139" s="11"/>
      <c r="O1139" s="11"/>
      <c r="P1139" s="11"/>
    </row>
    <row r="1140" spans="7:16" x14ac:dyDescent="0.25">
      <c r="G1140" s="698"/>
      <c r="H1140" s="12"/>
      <c r="I1140" s="12"/>
      <c r="J1140" s="12"/>
      <c r="K1140" s="12"/>
      <c r="L1140" s="12"/>
      <c r="M1140" s="11"/>
      <c r="N1140" s="11"/>
      <c r="O1140" s="11"/>
      <c r="P1140" s="11"/>
    </row>
    <row r="1141" spans="7:16" x14ac:dyDescent="0.25">
      <c r="G1141" s="698"/>
      <c r="H1141" s="12"/>
      <c r="I1141" s="12"/>
      <c r="J1141" s="12"/>
      <c r="K1141" s="12"/>
      <c r="L1141" s="12"/>
      <c r="M1141" s="11"/>
      <c r="N1141" s="11"/>
      <c r="O1141" s="11"/>
      <c r="P1141" s="11"/>
    </row>
    <row r="1142" spans="7:16" x14ac:dyDescent="0.25">
      <c r="G1142" s="698"/>
      <c r="H1142" s="12"/>
      <c r="I1142" s="12"/>
      <c r="J1142" s="12"/>
      <c r="K1142" s="12"/>
      <c r="L1142" s="12"/>
      <c r="M1142" s="11"/>
      <c r="N1142" s="11"/>
      <c r="O1142" s="11"/>
      <c r="P1142" s="11"/>
    </row>
    <row r="1143" spans="7:16" x14ac:dyDescent="0.25">
      <c r="G1143" s="698"/>
      <c r="H1143" s="12"/>
      <c r="I1143" s="12"/>
      <c r="J1143" s="12"/>
      <c r="K1143" s="12"/>
      <c r="L1143" s="12"/>
      <c r="M1143" s="11"/>
      <c r="N1143" s="11"/>
      <c r="O1143" s="11"/>
      <c r="P1143" s="11"/>
    </row>
    <row r="1144" spans="7:16" x14ac:dyDescent="0.25">
      <c r="G1144" s="698"/>
      <c r="H1144" s="12"/>
      <c r="I1144" s="12"/>
      <c r="J1144" s="12"/>
      <c r="K1144" s="12"/>
      <c r="L1144" s="12"/>
      <c r="M1144" s="11"/>
      <c r="N1144" s="11"/>
      <c r="O1144" s="11"/>
      <c r="P1144" s="11"/>
    </row>
    <row r="1145" spans="7:16" x14ac:dyDescent="0.25">
      <c r="G1145" s="698"/>
      <c r="H1145" s="12"/>
      <c r="I1145" s="12"/>
      <c r="J1145" s="12"/>
      <c r="K1145" s="12"/>
      <c r="L1145" s="12"/>
      <c r="M1145" s="11"/>
      <c r="N1145" s="11"/>
      <c r="O1145" s="11"/>
      <c r="P1145" s="11"/>
    </row>
    <row r="1146" spans="7:16" x14ac:dyDescent="0.25">
      <c r="G1146" s="698"/>
      <c r="H1146" s="12"/>
      <c r="I1146" s="12"/>
      <c r="J1146" s="12"/>
      <c r="K1146" s="12"/>
      <c r="L1146" s="12"/>
      <c r="M1146" s="11"/>
      <c r="N1146" s="11"/>
      <c r="O1146" s="11"/>
      <c r="P1146" s="11"/>
    </row>
    <row r="1147" spans="7:16" x14ac:dyDescent="0.25">
      <c r="G1147" s="698"/>
      <c r="H1147" s="12"/>
      <c r="I1147" s="12"/>
      <c r="J1147" s="12"/>
      <c r="K1147" s="12"/>
      <c r="L1147" s="12"/>
      <c r="M1147" s="11"/>
      <c r="N1147" s="11"/>
      <c r="O1147" s="11"/>
      <c r="P1147" s="11"/>
    </row>
    <row r="1148" spans="7:16" x14ac:dyDescent="0.25">
      <c r="G1148" s="698"/>
      <c r="H1148" s="12"/>
      <c r="I1148" s="12"/>
      <c r="J1148" s="12"/>
      <c r="K1148" s="12"/>
      <c r="L1148" s="12"/>
      <c r="M1148" s="11"/>
      <c r="N1148" s="11"/>
      <c r="O1148" s="11"/>
      <c r="P1148" s="11"/>
    </row>
    <row r="1149" spans="7:16" x14ac:dyDescent="0.25">
      <c r="G1149" s="698"/>
      <c r="H1149" s="12"/>
      <c r="I1149" s="12"/>
      <c r="J1149" s="12"/>
      <c r="K1149" s="12"/>
      <c r="L1149" s="12"/>
      <c r="M1149" s="11"/>
      <c r="N1149" s="11"/>
      <c r="O1149" s="11"/>
      <c r="P1149" s="11"/>
    </row>
    <row r="1150" spans="7:16" x14ac:dyDescent="0.25">
      <c r="G1150" s="698"/>
      <c r="H1150" s="12"/>
      <c r="I1150" s="12"/>
      <c r="J1150" s="12"/>
      <c r="K1150" s="12"/>
      <c r="L1150" s="12"/>
      <c r="M1150" s="11"/>
      <c r="N1150" s="11"/>
      <c r="O1150" s="11"/>
      <c r="P1150" s="11"/>
    </row>
    <row r="1151" spans="7:16" x14ac:dyDescent="0.25">
      <c r="G1151" s="698"/>
      <c r="H1151" s="12"/>
      <c r="I1151" s="12"/>
      <c r="J1151" s="12"/>
      <c r="K1151" s="12"/>
      <c r="L1151" s="12"/>
      <c r="M1151" s="11"/>
      <c r="N1151" s="11"/>
      <c r="O1151" s="11"/>
      <c r="P1151" s="11"/>
    </row>
    <row r="1152" spans="7:16" x14ac:dyDescent="0.25">
      <c r="G1152" s="698"/>
      <c r="H1152" s="12"/>
      <c r="I1152" s="12"/>
      <c r="J1152" s="12"/>
      <c r="K1152" s="12"/>
      <c r="L1152" s="12"/>
      <c r="M1152" s="11"/>
      <c r="N1152" s="11"/>
      <c r="O1152" s="11"/>
      <c r="P1152" s="11"/>
    </row>
    <row r="1153" spans="7:16" x14ac:dyDescent="0.25">
      <c r="G1153" s="698"/>
      <c r="H1153" s="12"/>
      <c r="I1153" s="12"/>
      <c r="J1153" s="12"/>
      <c r="K1153" s="12"/>
      <c r="L1153" s="12"/>
      <c r="M1153" s="11"/>
      <c r="N1153" s="11"/>
      <c r="O1153" s="11"/>
      <c r="P1153" s="11"/>
    </row>
    <row r="1154" spans="7:16" x14ac:dyDescent="0.25">
      <c r="G1154" s="698"/>
      <c r="H1154" s="12"/>
      <c r="I1154" s="12"/>
      <c r="J1154" s="12"/>
      <c r="K1154" s="12"/>
      <c r="L1154" s="12"/>
      <c r="M1154" s="11"/>
      <c r="N1154" s="11"/>
      <c r="O1154" s="11"/>
      <c r="P1154" s="11"/>
    </row>
    <row r="1155" spans="7:16" x14ac:dyDescent="0.25">
      <c r="G1155" s="698"/>
      <c r="H1155" s="12"/>
      <c r="I1155" s="12"/>
      <c r="J1155" s="12"/>
      <c r="K1155" s="12"/>
      <c r="L1155" s="12"/>
      <c r="M1155" s="11"/>
      <c r="N1155" s="11"/>
      <c r="O1155" s="11"/>
      <c r="P1155" s="11"/>
    </row>
    <row r="1156" spans="7:16" x14ac:dyDescent="0.25">
      <c r="G1156" s="698"/>
      <c r="H1156" s="12"/>
      <c r="I1156" s="12"/>
      <c r="J1156" s="12"/>
      <c r="K1156" s="12"/>
      <c r="L1156" s="12"/>
      <c r="M1156" s="11"/>
      <c r="N1156" s="11"/>
      <c r="O1156" s="11"/>
      <c r="P1156" s="11"/>
    </row>
    <row r="1157" spans="7:16" x14ac:dyDescent="0.25">
      <c r="G1157" s="698"/>
      <c r="H1157" s="12"/>
      <c r="I1157" s="12"/>
      <c r="J1157" s="12"/>
      <c r="K1157" s="12"/>
      <c r="L1157" s="12"/>
      <c r="M1157" s="11"/>
      <c r="N1157" s="11"/>
      <c r="O1157" s="11"/>
      <c r="P1157" s="11"/>
    </row>
    <row r="1158" spans="7:16" x14ac:dyDescent="0.25">
      <c r="G1158" s="698"/>
      <c r="H1158" s="12"/>
      <c r="I1158" s="12"/>
      <c r="J1158" s="12"/>
      <c r="K1158" s="12"/>
      <c r="L1158" s="12"/>
      <c r="M1158" s="11"/>
      <c r="N1158" s="11"/>
      <c r="O1158" s="11"/>
      <c r="P1158" s="11"/>
    </row>
    <row r="1159" spans="7:16" x14ac:dyDescent="0.25">
      <c r="G1159" s="698"/>
      <c r="H1159" s="12"/>
      <c r="I1159" s="12"/>
      <c r="J1159" s="12"/>
      <c r="K1159" s="12"/>
      <c r="L1159" s="12"/>
      <c r="M1159" s="11"/>
      <c r="N1159" s="11"/>
      <c r="O1159" s="11"/>
      <c r="P1159" s="11"/>
    </row>
    <row r="1160" spans="7:16" x14ac:dyDescent="0.25">
      <c r="G1160" s="698"/>
      <c r="H1160" s="12"/>
      <c r="I1160" s="12"/>
      <c r="J1160" s="12"/>
      <c r="K1160" s="12"/>
      <c r="L1160" s="12"/>
      <c r="M1160" s="11"/>
      <c r="N1160" s="11"/>
      <c r="O1160" s="11"/>
      <c r="P1160" s="11"/>
    </row>
    <row r="1161" spans="7:16" x14ac:dyDescent="0.25">
      <c r="G1161" s="698"/>
      <c r="H1161" s="12"/>
      <c r="I1161" s="12"/>
      <c r="J1161" s="12"/>
      <c r="K1161" s="12"/>
      <c r="L1161" s="12"/>
      <c r="M1161" s="11"/>
      <c r="N1161" s="11"/>
      <c r="O1161" s="11"/>
      <c r="P1161" s="11"/>
    </row>
    <row r="1162" spans="7:16" x14ac:dyDescent="0.25">
      <c r="G1162" s="698"/>
      <c r="H1162" s="12"/>
      <c r="I1162" s="12"/>
      <c r="J1162" s="12"/>
      <c r="K1162" s="12"/>
      <c r="L1162" s="12"/>
      <c r="M1162" s="11"/>
      <c r="N1162" s="11"/>
      <c r="O1162" s="11"/>
      <c r="P1162" s="11"/>
    </row>
    <row r="1163" spans="7:16" x14ac:dyDescent="0.25">
      <c r="G1163" s="698"/>
      <c r="H1163" s="12"/>
      <c r="I1163" s="12"/>
      <c r="J1163" s="12"/>
      <c r="K1163" s="12"/>
      <c r="L1163" s="12"/>
      <c r="M1163" s="11"/>
      <c r="N1163" s="11"/>
      <c r="O1163" s="11"/>
      <c r="P1163" s="11"/>
    </row>
    <row r="1164" spans="7:16" x14ac:dyDescent="0.25">
      <c r="G1164" s="698"/>
      <c r="H1164" s="12"/>
      <c r="I1164" s="12"/>
      <c r="J1164" s="12"/>
      <c r="K1164" s="12"/>
      <c r="L1164" s="12"/>
      <c r="M1164" s="11"/>
      <c r="N1164" s="11"/>
      <c r="O1164" s="11"/>
      <c r="P1164" s="11"/>
    </row>
    <row r="1165" spans="7:16" x14ac:dyDescent="0.25">
      <c r="G1165" s="698"/>
      <c r="H1165" s="12"/>
      <c r="I1165" s="12"/>
      <c r="J1165" s="12"/>
      <c r="K1165" s="12"/>
      <c r="L1165" s="12"/>
      <c r="M1165" s="11"/>
      <c r="N1165" s="11"/>
      <c r="O1165" s="11"/>
      <c r="P1165" s="11"/>
    </row>
    <row r="1166" spans="7:16" x14ac:dyDescent="0.25">
      <c r="G1166" s="698"/>
      <c r="H1166" s="12"/>
      <c r="I1166" s="12"/>
      <c r="J1166" s="12"/>
      <c r="K1166" s="12"/>
      <c r="L1166" s="12"/>
      <c r="M1166" s="11"/>
      <c r="N1166" s="11"/>
      <c r="O1166" s="11"/>
      <c r="P1166" s="11"/>
    </row>
    <row r="1167" spans="7:16" x14ac:dyDescent="0.25">
      <c r="G1167" s="698"/>
      <c r="H1167" s="12"/>
      <c r="I1167" s="12"/>
      <c r="J1167" s="12"/>
      <c r="K1167" s="12"/>
      <c r="L1167" s="12"/>
      <c r="M1167" s="11"/>
      <c r="N1167" s="11"/>
      <c r="O1167" s="11"/>
      <c r="P1167" s="11"/>
    </row>
    <row r="1168" spans="7:16" x14ac:dyDescent="0.25">
      <c r="G1168" s="698"/>
      <c r="H1168" s="12"/>
      <c r="I1168" s="12"/>
      <c r="J1168" s="12"/>
      <c r="K1168" s="12"/>
      <c r="L1168" s="12"/>
      <c r="M1168" s="11"/>
      <c r="N1168" s="11"/>
      <c r="O1168" s="11"/>
      <c r="P1168" s="11"/>
    </row>
    <row r="1169" spans="7:16" x14ac:dyDescent="0.25">
      <c r="G1169" s="698"/>
      <c r="H1169" s="12"/>
      <c r="I1169" s="12"/>
      <c r="J1169" s="12"/>
      <c r="K1169" s="12"/>
      <c r="L1169" s="12"/>
      <c r="M1169" s="11"/>
      <c r="N1169" s="11"/>
      <c r="O1169" s="11"/>
      <c r="P1169" s="11"/>
    </row>
    <row r="1170" spans="7:16" x14ac:dyDescent="0.25">
      <c r="G1170" s="698"/>
      <c r="H1170" s="12"/>
      <c r="I1170" s="12"/>
      <c r="J1170" s="12"/>
      <c r="K1170" s="12"/>
      <c r="L1170" s="12"/>
      <c r="M1170" s="11"/>
      <c r="N1170" s="11"/>
      <c r="O1170" s="11"/>
      <c r="P1170" s="11"/>
    </row>
    <row r="1171" spans="7:16" x14ac:dyDescent="0.25">
      <c r="G1171" s="698"/>
      <c r="H1171" s="12"/>
      <c r="I1171" s="12"/>
      <c r="J1171" s="12"/>
      <c r="K1171" s="12"/>
      <c r="L1171" s="12"/>
      <c r="M1171" s="11"/>
      <c r="N1171" s="11"/>
      <c r="O1171" s="11"/>
      <c r="P1171" s="11"/>
    </row>
    <row r="1172" spans="7:16" x14ac:dyDescent="0.25">
      <c r="G1172" s="698"/>
      <c r="H1172" s="12"/>
      <c r="I1172" s="12"/>
      <c r="J1172" s="12"/>
      <c r="K1172" s="12"/>
      <c r="L1172" s="12"/>
      <c r="M1172" s="11"/>
      <c r="N1172" s="11"/>
      <c r="O1172" s="11"/>
      <c r="P1172" s="11"/>
    </row>
    <row r="1173" spans="7:16" x14ac:dyDescent="0.25">
      <c r="G1173" s="698"/>
      <c r="H1173" s="12"/>
      <c r="I1173" s="12"/>
      <c r="J1173" s="12"/>
      <c r="K1173" s="12"/>
      <c r="L1173" s="12"/>
      <c r="M1173" s="11"/>
      <c r="N1173" s="11"/>
      <c r="O1173" s="11"/>
      <c r="P1173" s="11"/>
    </row>
    <row r="1174" spans="7:16" x14ac:dyDescent="0.25">
      <c r="G1174" s="698"/>
      <c r="H1174" s="12"/>
      <c r="I1174" s="12"/>
      <c r="J1174" s="12"/>
      <c r="K1174" s="12"/>
      <c r="L1174" s="12"/>
      <c r="M1174" s="11"/>
      <c r="N1174" s="11"/>
      <c r="O1174" s="11"/>
      <c r="P1174" s="11"/>
    </row>
    <row r="1175" spans="7:16" x14ac:dyDescent="0.25">
      <c r="G1175" s="698"/>
      <c r="H1175" s="12"/>
      <c r="I1175" s="12"/>
      <c r="J1175" s="12"/>
      <c r="K1175" s="12"/>
      <c r="L1175" s="12"/>
      <c r="M1175" s="11"/>
      <c r="N1175" s="11"/>
      <c r="O1175" s="11"/>
      <c r="P1175" s="11"/>
    </row>
    <row r="1176" spans="7:16" x14ac:dyDescent="0.25">
      <c r="G1176" s="698"/>
      <c r="H1176" s="12"/>
      <c r="I1176" s="12"/>
      <c r="J1176" s="12"/>
      <c r="K1176" s="12"/>
      <c r="L1176" s="12"/>
      <c r="M1176" s="11"/>
      <c r="N1176" s="11"/>
      <c r="O1176" s="11"/>
      <c r="P1176" s="11"/>
    </row>
    <row r="1177" spans="7:16" x14ac:dyDescent="0.25">
      <c r="G1177" s="698"/>
      <c r="H1177" s="12"/>
      <c r="I1177" s="12"/>
      <c r="J1177" s="12"/>
      <c r="K1177" s="12"/>
      <c r="L1177" s="12"/>
      <c r="M1177" s="11"/>
      <c r="N1177" s="11"/>
      <c r="O1177" s="11"/>
      <c r="P1177" s="11"/>
    </row>
    <row r="1178" spans="7:16" x14ac:dyDescent="0.25">
      <c r="G1178" s="698"/>
      <c r="H1178" s="12"/>
      <c r="I1178" s="12"/>
      <c r="J1178" s="12"/>
      <c r="K1178" s="12"/>
      <c r="L1178" s="12"/>
      <c r="M1178" s="11"/>
      <c r="N1178" s="11"/>
      <c r="O1178" s="11"/>
      <c r="P1178" s="11"/>
    </row>
    <row r="1179" spans="7:16" x14ac:dyDescent="0.25">
      <c r="G1179" s="698"/>
      <c r="H1179" s="12"/>
      <c r="I1179" s="12"/>
      <c r="J1179" s="12"/>
      <c r="K1179" s="12"/>
      <c r="L1179" s="12"/>
      <c r="M1179" s="11"/>
      <c r="N1179" s="11"/>
      <c r="O1179" s="11"/>
      <c r="P1179" s="11"/>
    </row>
    <row r="1180" spans="7:16" x14ac:dyDescent="0.25">
      <c r="G1180" s="698"/>
      <c r="H1180" s="12"/>
      <c r="I1180" s="12"/>
      <c r="J1180" s="12"/>
      <c r="K1180" s="12"/>
      <c r="L1180" s="12"/>
      <c r="M1180" s="11"/>
      <c r="N1180" s="11"/>
      <c r="O1180" s="11"/>
      <c r="P1180" s="11"/>
    </row>
    <row r="1181" spans="7:16" x14ac:dyDescent="0.25">
      <c r="G1181" s="698"/>
      <c r="H1181" s="12"/>
      <c r="I1181" s="12"/>
      <c r="J1181" s="12"/>
      <c r="K1181" s="12"/>
      <c r="L1181" s="12"/>
      <c r="M1181" s="11"/>
      <c r="N1181" s="11"/>
      <c r="O1181" s="11"/>
      <c r="P1181" s="11"/>
    </row>
    <row r="1182" spans="7:16" x14ac:dyDescent="0.25">
      <c r="G1182" s="698"/>
      <c r="H1182" s="12"/>
      <c r="I1182" s="12"/>
      <c r="J1182" s="12"/>
      <c r="K1182" s="12"/>
      <c r="L1182" s="12"/>
      <c r="M1182" s="11"/>
      <c r="N1182" s="11"/>
      <c r="O1182" s="11"/>
      <c r="P1182" s="11"/>
    </row>
    <row r="1183" spans="7:16" x14ac:dyDescent="0.25">
      <c r="G1183" s="698"/>
      <c r="H1183" s="12"/>
      <c r="I1183" s="12"/>
      <c r="J1183" s="12"/>
      <c r="K1183" s="12"/>
      <c r="L1183" s="12"/>
      <c r="M1183" s="11"/>
      <c r="N1183" s="11"/>
      <c r="O1183" s="11"/>
      <c r="P1183" s="11"/>
    </row>
    <row r="1184" spans="7:16" x14ac:dyDescent="0.25">
      <c r="G1184" s="698"/>
      <c r="H1184" s="12"/>
      <c r="I1184" s="12"/>
      <c r="J1184" s="12"/>
      <c r="K1184" s="12"/>
      <c r="L1184" s="12"/>
      <c r="M1184" s="11"/>
      <c r="N1184" s="11"/>
      <c r="O1184" s="11"/>
      <c r="P1184" s="11"/>
    </row>
    <row r="1185" spans="7:16" x14ac:dyDescent="0.25">
      <c r="G1185" s="698"/>
      <c r="H1185" s="12"/>
      <c r="I1185" s="12"/>
      <c r="J1185" s="12"/>
      <c r="K1185" s="12"/>
      <c r="L1185" s="12"/>
      <c r="M1185" s="11"/>
      <c r="N1185" s="11"/>
      <c r="O1185" s="11"/>
      <c r="P1185" s="11"/>
    </row>
    <row r="1186" spans="7:16" x14ac:dyDescent="0.25">
      <c r="G1186" s="698"/>
      <c r="H1186" s="12"/>
      <c r="I1186" s="12"/>
      <c r="J1186" s="12"/>
      <c r="K1186" s="12"/>
      <c r="L1186" s="12"/>
      <c r="M1186" s="11"/>
      <c r="N1186" s="11"/>
      <c r="O1186" s="11"/>
      <c r="P1186" s="11"/>
    </row>
    <row r="1187" spans="7:16" x14ac:dyDescent="0.25">
      <c r="G1187" s="698"/>
      <c r="H1187" s="12"/>
      <c r="I1187" s="12"/>
      <c r="J1187" s="12"/>
      <c r="K1187" s="12"/>
      <c r="L1187" s="12"/>
      <c r="M1187" s="11"/>
      <c r="N1187" s="11"/>
      <c r="O1187" s="11"/>
      <c r="P1187" s="11"/>
    </row>
    <row r="1188" spans="7:16" x14ac:dyDescent="0.25">
      <c r="G1188" s="698"/>
      <c r="H1188" s="12"/>
      <c r="I1188" s="12"/>
      <c r="J1188" s="12"/>
      <c r="K1188" s="12"/>
      <c r="L1188" s="12"/>
      <c r="M1188" s="11"/>
      <c r="N1188" s="11"/>
      <c r="O1188" s="11"/>
      <c r="P1188" s="11"/>
    </row>
    <row r="1189" spans="7:16" x14ac:dyDescent="0.25">
      <c r="G1189" s="698"/>
      <c r="H1189" s="12"/>
      <c r="I1189" s="12"/>
      <c r="J1189" s="12"/>
      <c r="K1189" s="12"/>
      <c r="L1189" s="12"/>
      <c r="M1189" s="11"/>
      <c r="N1189" s="11"/>
      <c r="O1189" s="11"/>
      <c r="P1189" s="11"/>
    </row>
    <row r="1190" spans="7:16" x14ac:dyDescent="0.25">
      <c r="G1190" s="698"/>
      <c r="H1190" s="12"/>
      <c r="I1190" s="12"/>
      <c r="J1190" s="12"/>
      <c r="K1190" s="12"/>
      <c r="L1190" s="12"/>
      <c r="M1190" s="11"/>
      <c r="N1190" s="11"/>
      <c r="O1190" s="11"/>
      <c r="P1190" s="11"/>
    </row>
    <row r="1191" spans="7:16" x14ac:dyDescent="0.25">
      <c r="G1191" s="698"/>
      <c r="H1191" s="12"/>
      <c r="I1191" s="12"/>
      <c r="J1191" s="12"/>
      <c r="K1191" s="12"/>
      <c r="L1191" s="12"/>
      <c r="M1191" s="11"/>
      <c r="N1191" s="11"/>
      <c r="O1191" s="11"/>
      <c r="P1191" s="11"/>
    </row>
    <row r="1192" spans="7:16" x14ac:dyDescent="0.25">
      <c r="G1192" s="698"/>
      <c r="H1192" s="12"/>
      <c r="I1192" s="12"/>
      <c r="J1192" s="12"/>
      <c r="K1192" s="12"/>
      <c r="L1192" s="12"/>
      <c r="M1192" s="11"/>
      <c r="N1192" s="11"/>
      <c r="O1192" s="11"/>
      <c r="P1192" s="11"/>
    </row>
    <row r="1193" spans="7:16" x14ac:dyDescent="0.25">
      <c r="G1193" s="698"/>
      <c r="H1193" s="12"/>
      <c r="I1193" s="12"/>
      <c r="J1193" s="12"/>
      <c r="K1193" s="12"/>
      <c r="L1193" s="12"/>
      <c r="M1193" s="11"/>
      <c r="N1193" s="11"/>
      <c r="O1193" s="11"/>
      <c r="P1193" s="11"/>
    </row>
    <row r="1194" spans="7:16" x14ac:dyDescent="0.25">
      <c r="G1194" s="698"/>
      <c r="H1194" s="12"/>
      <c r="I1194" s="12"/>
      <c r="J1194" s="12"/>
      <c r="K1194" s="12"/>
      <c r="L1194" s="12"/>
      <c r="M1194" s="11"/>
      <c r="N1194" s="11"/>
      <c r="O1194" s="11"/>
      <c r="P1194" s="11"/>
    </row>
    <row r="1195" spans="7:16" x14ac:dyDescent="0.25">
      <c r="G1195" s="698"/>
      <c r="H1195" s="12"/>
      <c r="I1195" s="12"/>
      <c r="J1195" s="12"/>
      <c r="K1195" s="12"/>
      <c r="L1195" s="12"/>
      <c r="M1195" s="11"/>
      <c r="N1195" s="11"/>
      <c r="O1195" s="11"/>
      <c r="P1195" s="11"/>
    </row>
    <row r="1196" spans="7:16" x14ac:dyDescent="0.25">
      <c r="G1196" s="698"/>
      <c r="H1196" s="12"/>
      <c r="I1196" s="12"/>
      <c r="J1196" s="12"/>
      <c r="K1196" s="12"/>
      <c r="L1196" s="12"/>
      <c r="M1196" s="11"/>
      <c r="N1196" s="11"/>
      <c r="O1196" s="11"/>
      <c r="P1196" s="11"/>
    </row>
    <row r="1197" spans="7:16" x14ac:dyDescent="0.25">
      <c r="G1197" s="698"/>
      <c r="H1197" s="12"/>
      <c r="I1197" s="12"/>
      <c r="J1197" s="12"/>
      <c r="K1197" s="12"/>
      <c r="L1197" s="12"/>
      <c r="M1197" s="11"/>
      <c r="N1197" s="11"/>
      <c r="O1197" s="11"/>
      <c r="P1197" s="11"/>
    </row>
    <row r="1198" spans="7:16" x14ac:dyDescent="0.25">
      <c r="G1198" s="698"/>
      <c r="H1198" s="12"/>
      <c r="I1198" s="12"/>
      <c r="J1198" s="12"/>
      <c r="K1198" s="12"/>
      <c r="L1198" s="12"/>
      <c r="M1198" s="11"/>
      <c r="N1198" s="11"/>
      <c r="O1198" s="11"/>
      <c r="P1198" s="11"/>
    </row>
    <row r="1199" spans="7:16" x14ac:dyDescent="0.25">
      <c r="G1199" s="698"/>
      <c r="H1199" s="12"/>
      <c r="I1199" s="12"/>
      <c r="J1199" s="12"/>
      <c r="K1199" s="12"/>
      <c r="L1199" s="12"/>
      <c r="M1199" s="11"/>
      <c r="N1199" s="11"/>
      <c r="O1199" s="11"/>
      <c r="P1199" s="11"/>
    </row>
    <row r="1200" spans="7:16" x14ac:dyDescent="0.25">
      <c r="G1200" s="698"/>
      <c r="H1200" s="12"/>
      <c r="I1200" s="12"/>
      <c r="J1200" s="12"/>
      <c r="K1200" s="12"/>
      <c r="L1200" s="12"/>
      <c r="M1200" s="11"/>
      <c r="N1200" s="11"/>
      <c r="O1200" s="11"/>
      <c r="P1200" s="11"/>
    </row>
    <row r="1201" spans="7:16" x14ac:dyDescent="0.25">
      <c r="G1201" s="698"/>
      <c r="H1201" s="12"/>
      <c r="I1201" s="12"/>
      <c r="J1201" s="12"/>
      <c r="K1201" s="12"/>
      <c r="L1201" s="12"/>
      <c r="M1201" s="11"/>
      <c r="N1201" s="11"/>
      <c r="O1201" s="11"/>
      <c r="P1201" s="11"/>
    </row>
    <row r="1202" spans="7:16" x14ac:dyDescent="0.25">
      <c r="G1202" s="698"/>
      <c r="H1202" s="12"/>
      <c r="I1202" s="12"/>
      <c r="J1202" s="12"/>
      <c r="K1202" s="12"/>
      <c r="L1202" s="12"/>
      <c r="M1202" s="11"/>
      <c r="N1202" s="11"/>
      <c r="O1202" s="11"/>
      <c r="P1202" s="11"/>
    </row>
    <row r="1203" spans="7:16" x14ac:dyDescent="0.25">
      <c r="G1203" s="698"/>
      <c r="H1203" s="12"/>
      <c r="I1203" s="12"/>
      <c r="J1203" s="12"/>
      <c r="K1203" s="12"/>
      <c r="L1203" s="12"/>
      <c r="M1203" s="11"/>
      <c r="N1203" s="11"/>
      <c r="O1203" s="11"/>
      <c r="P1203" s="11"/>
    </row>
    <row r="1204" spans="7:16" x14ac:dyDescent="0.25">
      <c r="G1204" s="698"/>
      <c r="H1204" s="12"/>
      <c r="I1204" s="12"/>
      <c r="J1204" s="12"/>
      <c r="K1204" s="12"/>
      <c r="L1204" s="12"/>
      <c r="M1204" s="11"/>
      <c r="N1204" s="11"/>
      <c r="O1204" s="11"/>
      <c r="P1204" s="11"/>
    </row>
    <row r="1205" spans="7:16" x14ac:dyDescent="0.25">
      <c r="G1205" s="698"/>
      <c r="H1205" s="12"/>
      <c r="I1205" s="12"/>
      <c r="J1205" s="12"/>
      <c r="K1205" s="12"/>
      <c r="L1205" s="12"/>
      <c r="M1205" s="11"/>
      <c r="N1205" s="11"/>
      <c r="O1205" s="11"/>
      <c r="P1205" s="11"/>
    </row>
    <row r="1206" spans="7:16" x14ac:dyDescent="0.25">
      <c r="G1206" s="698"/>
      <c r="H1206" s="12"/>
      <c r="I1206" s="12"/>
      <c r="J1206" s="12"/>
      <c r="K1206" s="12"/>
      <c r="L1206" s="12"/>
      <c r="M1206" s="11"/>
      <c r="N1206" s="11"/>
      <c r="O1206" s="11"/>
      <c r="P1206" s="11"/>
    </row>
    <row r="1207" spans="7:16" x14ac:dyDescent="0.25">
      <c r="G1207" s="698"/>
      <c r="H1207" s="12"/>
      <c r="I1207" s="12"/>
      <c r="J1207" s="12"/>
      <c r="K1207" s="12"/>
      <c r="L1207" s="12"/>
      <c r="M1207" s="11"/>
      <c r="N1207" s="11"/>
      <c r="O1207" s="11"/>
      <c r="P1207" s="11"/>
    </row>
    <row r="1208" spans="7:16" x14ac:dyDescent="0.25">
      <c r="G1208" s="698"/>
      <c r="H1208" s="12"/>
      <c r="I1208" s="12"/>
      <c r="J1208" s="12"/>
      <c r="K1208" s="12"/>
      <c r="L1208" s="12"/>
      <c r="M1208" s="11"/>
      <c r="N1208" s="11"/>
      <c r="O1208" s="11"/>
      <c r="P1208" s="11"/>
    </row>
    <row r="1209" spans="7:16" x14ac:dyDescent="0.25">
      <c r="G1209" s="698"/>
      <c r="H1209" s="12"/>
      <c r="I1209" s="12"/>
      <c r="J1209" s="12"/>
      <c r="K1209" s="12"/>
      <c r="L1209" s="12"/>
      <c r="M1209" s="11"/>
      <c r="N1209" s="11"/>
      <c r="O1209" s="11"/>
      <c r="P1209" s="11"/>
    </row>
    <row r="1210" spans="7:16" x14ac:dyDescent="0.25">
      <c r="G1210" s="698"/>
      <c r="H1210" s="12"/>
      <c r="I1210" s="12"/>
      <c r="J1210" s="12"/>
      <c r="K1210" s="12"/>
      <c r="L1210" s="12"/>
      <c r="M1210" s="11"/>
      <c r="N1210" s="11"/>
      <c r="O1210" s="11"/>
      <c r="P1210" s="11"/>
    </row>
    <row r="1211" spans="7:16" x14ac:dyDescent="0.25">
      <c r="G1211" s="698"/>
      <c r="H1211" s="12"/>
      <c r="I1211" s="12"/>
      <c r="J1211" s="12"/>
      <c r="K1211" s="12"/>
      <c r="L1211" s="12"/>
      <c r="M1211" s="11"/>
      <c r="N1211" s="11"/>
      <c r="O1211" s="11"/>
      <c r="P1211" s="11"/>
    </row>
    <row r="1212" spans="7:16" x14ac:dyDescent="0.25">
      <c r="G1212" s="698"/>
      <c r="H1212" s="12"/>
      <c r="I1212" s="12"/>
      <c r="J1212" s="12"/>
      <c r="K1212" s="12"/>
      <c r="L1212" s="12"/>
      <c r="M1212" s="11"/>
      <c r="N1212" s="11"/>
      <c r="O1212" s="11"/>
      <c r="P1212" s="11"/>
    </row>
    <row r="1213" spans="7:16" x14ac:dyDescent="0.25">
      <c r="G1213" s="698"/>
      <c r="H1213" s="12"/>
      <c r="I1213" s="12"/>
      <c r="J1213" s="12"/>
      <c r="K1213" s="12"/>
      <c r="L1213" s="12"/>
      <c r="M1213" s="11"/>
      <c r="N1213" s="11"/>
      <c r="O1213" s="11"/>
      <c r="P1213" s="11"/>
    </row>
    <row r="1214" spans="7:16" x14ac:dyDescent="0.25">
      <c r="G1214" s="698"/>
      <c r="H1214" s="12"/>
      <c r="I1214" s="12"/>
      <c r="J1214" s="12"/>
      <c r="K1214" s="12"/>
      <c r="L1214" s="12"/>
      <c r="M1214" s="11"/>
      <c r="N1214" s="11"/>
      <c r="O1214" s="11"/>
      <c r="P1214" s="11"/>
    </row>
    <row r="1215" spans="7:16" x14ac:dyDescent="0.25">
      <c r="G1215" s="698"/>
      <c r="H1215" s="12"/>
      <c r="I1215" s="12"/>
      <c r="J1215" s="12"/>
      <c r="K1215" s="12"/>
      <c r="L1215" s="12"/>
      <c r="M1215" s="11"/>
      <c r="N1215" s="11"/>
      <c r="O1215" s="11"/>
      <c r="P1215" s="11"/>
    </row>
    <row r="1216" spans="7:16" x14ac:dyDescent="0.25">
      <c r="G1216" s="698"/>
      <c r="H1216" s="12"/>
      <c r="I1216" s="12"/>
      <c r="J1216" s="12"/>
      <c r="K1216" s="12"/>
      <c r="L1216" s="12"/>
      <c r="M1216" s="11"/>
      <c r="N1216" s="11"/>
      <c r="O1216" s="11"/>
      <c r="P1216" s="11"/>
    </row>
    <row r="1217" spans="7:16" x14ac:dyDescent="0.25">
      <c r="G1217" s="698"/>
      <c r="H1217" s="12"/>
      <c r="I1217" s="12"/>
      <c r="J1217" s="12"/>
      <c r="K1217" s="12"/>
      <c r="L1217" s="12"/>
      <c r="M1217" s="11"/>
      <c r="N1217" s="11"/>
      <c r="O1217" s="11"/>
      <c r="P1217" s="11"/>
    </row>
    <row r="1218" spans="7:16" x14ac:dyDescent="0.25">
      <c r="G1218" s="698"/>
      <c r="H1218" s="12"/>
      <c r="I1218" s="12"/>
      <c r="J1218" s="12"/>
      <c r="K1218" s="12"/>
      <c r="L1218" s="12"/>
      <c r="M1218" s="11"/>
      <c r="N1218" s="11"/>
      <c r="O1218" s="11"/>
      <c r="P1218" s="11"/>
    </row>
    <row r="1219" spans="7:16" x14ac:dyDescent="0.25">
      <c r="G1219" s="698"/>
      <c r="H1219" s="12"/>
      <c r="I1219" s="12"/>
      <c r="J1219" s="12"/>
      <c r="K1219" s="12"/>
      <c r="L1219" s="12"/>
      <c r="M1219" s="11"/>
      <c r="N1219" s="11"/>
      <c r="O1219" s="11"/>
      <c r="P1219" s="11"/>
    </row>
    <row r="1220" spans="7:16" x14ac:dyDescent="0.25">
      <c r="G1220" s="698"/>
      <c r="H1220" s="12"/>
      <c r="I1220" s="12"/>
      <c r="J1220" s="12"/>
      <c r="K1220" s="12"/>
      <c r="L1220" s="12"/>
      <c r="M1220" s="11"/>
      <c r="N1220" s="11"/>
      <c r="O1220" s="11"/>
      <c r="P1220" s="11"/>
    </row>
    <row r="1221" spans="7:16" x14ac:dyDescent="0.25">
      <c r="G1221" s="698"/>
      <c r="H1221" s="12"/>
      <c r="I1221" s="12"/>
      <c r="J1221" s="12"/>
      <c r="K1221" s="12"/>
      <c r="L1221" s="12"/>
      <c r="M1221" s="11"/>
      <c r="N1221" s="11"/>
      <c r="O1221" s="11"/>
      <c r="P1221" s="11"/>
    </row>
    <row r="1222" spans="7:16" x14ac:dyDescent="0.25">
      <c r="G1222" s="698"/>
      <c r="H1222" s="12"/>
      <c r="I1222" s="12"/>
      <c r="J1222" s="12"/>
      <c r="K1222" s="12"/>
      <c r="L1222" s="12"/>
      <c r="M1222" s="11"/>
      <c r="N1222" s="11"/>
      <c r="O1222" s="11"/>
      <c r="P1222" s="11"/>
    </row>
    <row r="1223" spans="7:16" x14ac:dyDescent="0.25">
      <c r="G1223" s="698"/>
      <c r="H1223" s="12"/>
      <c r="I1223" s="12"/>
      <c r="J1223" s="12"/>
      <c r="K1223" s="12"/>
      <c r="L1223" s="12"/>
      <c r="M1223" s="11"/>
      <c r="N1223" s="11"/>
      <c r="O1223" s="11"/>
      <c r="P1223" s="11"/>
    </row>
    <row r="1224" spans="7:16" x14ac:dyDescent="0.25">
      <c r="G1224" s="698"/>
      <c r="H1224" s="12"/>
      <c r="I1224" s="12"/>
      <c r="J1224" s="12"/>
      <c r="K1224" s="12"/>
      <c r="L1224" s="12"/>
      <c r="M1224" s="11"/>
      <c r="N1224" s="11"/>
      <c r="O1224" s="11"/>
      <c r="P1224" s="11"/>
    </row>
    <row r="1225" spans="7:16" x14ac:dyDescent="0.25">
      <c r="G1225" s="698"/>
      <c r="H1225" s="12"/>
      <c r="I1225" s="12"/>
      <c r="J1225" s="12"/>
      <c r="K1225" s="12"/>
      <c r="L1225" s="12"/>
      <c r="M1225" s="11"/>
      <c r="N1225" s="11"/>
      <c r="O1225" s="11"/>
      <c r="P1225" s="11"/>
    </row>
    <row r="1226" spans="7:16" x14ac:dyDescent="0.25">
      <c r="G1226" s="698"/>
      <c r="H1226" s="12"/>
      <c r="I1226" s="12"/>
      <c r="J1226" s="12"/>
      <c r="K1226" s="12"/>
      <c r="L1226" s="12"/>
      <c r="M1226" s="11"/>
      <c r="N1226" s="11"/>
      <c r="O1226" s="11"/>
      <c r="P1226" s="11"/>
    </row>
    <row r="1227" spans="7:16" x14ac:dyDescent="0.25">
      <c r="G1227" s="698"/>
      <c r="H1227" s="12"/>
      <c r="I1227" s="12"/>
      <c r="J1227" s="12"/>
      <c r="K1227" s="12"/>
      <c r="L1227" s="12"/>
      <c r="M1227" s="11"/>
      <c r="N1227" s="11"/>
      <c r="O1227" s="11"/>
      <c r="P1227" s="11"/>
    </row>
    <row r="1228" spans="7:16" x14ac:dyDescent="0.25">
      <c r="G1228" s="698"/>
      <c r="H1228" s="12"/>
      <c r="I1228" s="12"/>
      <c r="J1228" s="12"/>
      <c r="K1228" s="12"/>
      <c r="L1228" s="12"/>
      <c r="M1228" s="11"/>
      <c r="N1228" s="11"/>
      <c r="O1228" s="11"/>
      <c r="P1228" s="11"/>
    </row>
    <row r="1229" spans="7:16" x14ac:dyDescent="0.25">
      <c r="G1229" s="698"/>
      <c r="H1229" s="12"/>
      <c r="I1229" s="12"/>
      <c r="J1229" s="12"/>
      <c r="K1229" s="12"/>
      <c r="L1229" s="12"/>
      <c r="M1229" s="11"/>
      <c r="N1229" s="11"/>
      <c r="O1229" s="11"/>
      <c r="P1229" s="11"/>
    </row>
    <row r="1230" spans="7:16" x14ac:dyDescent="0.25">
      <c r="G1230" s="698"/>
      <c r="H1230" s="12"/>
      <c r="I1230" s="12"/>
      <c r="J1230" s="12"/>
      <c r="K1230" s="12"/>
      <c r="L1230" s="12"/>
      <c r="M1230" s="11"/>
      <c r="N1230" s="11"/>
      <c r="O1230" s="11"/>
      <c r="P1230" s="11"/>
    </row>
    <row r="1231" spans="7:16" x14ac:dyDescent="0.25">
      <c r="G1231" s="698"/>
      <c r="H1231" s="12"/>
      <c r="I1231" s="12"/>
      <c r="J1231" s="12"/>
      <c r="K1231" s="12"/>
      <c r="L1231" s="12"/>
      <c r="M1231" s="11"/>
      <c r="N1231" s="11"/>
      <c r="O1231" s="11"/>
      <c r="P1231" s="11"/>
    </row>
    <row r="1232" spans="7:16" x14ac:dyDescent="0.25">
      <c r="G1232" s="698"/>
      <c r="H1232" s="12"/>
      <c r="I1232" s="12"/>
      <c r="J1232" s="12"/>
      <c r="K1232" s="12"/>
      <c r="L1232" s="12"/>
      <c r="M1232" s="11"/>
      <c r="N1232" s="11"/>
      <c r="O1232" s="11"/>
      <c r="P1232" s="11"/>
    </row>
    <row r="1233" spans="7:16" x14ac:dyDescent="0.25">
      <c r="G1233" s="698"/>
      <c r="H1233" s="12"/>
      <c r="I1233" s="12"/>
      <c r="J1233" s="12"/>
      <c r="K1233" s="12"/>
      <c r="L1233" s="12"/>
      <c r="M1233" s="11"/>
      <c r="N1233" s="11"/>
      <c r="O1233" s="11"/>
      <c r="P1233" s="11"/>
    </row>
    <row r="1234" spans="7:16" x14ac:dyDescent="0.25">
      <c r="G1234" s="698"/>
      <c r="H1234" s="12"/>
      <c r="I1234" s="12"/>
      <c r="J1234" s="12"/>
      <c r="K1234" s="12"/>
      <c r="L1234" s="12"/>
      <c r="M1234" s="11"/>
      <c r="N1234" s="11"/>
      <c r="O1234" s="11"/>
      <c r="P1234" s="11"/>
    </row>
    <row r="1235" spans="7:16" x14ac:dyDescent="0.25">
      <c r="G1235" s="698"/>
      <c r="H1235" s="12"/>
      <c r="I1235" s="12"/>
      <c r="J1235" s="12"/>
      <c r="K1235" s="12"/>
      <c r="L1235" s="12"/>
      <c r="M1235" s="11"/>
      <c r="N1235" s="11"/>
      <c r="O1235" s="11"/>
      <c r="P1235" s="11"/>
    </row>
    <row r="1236" spans="7:16" x14ac:dyDescent="0.25">
      <c r="G1236" s="698"/>
      <c r="H1236" s="12"/>
      <c r="I1236" s="12"/>
      <c r="J1236" s="12"/>
      <c r="K1236" s="12"/>
      <c r="L1236" s="12"/>
      <c r="M1236" s="11"/>
      <c r="N1236" s="11"/>
      <c r="O1236" s="11"/>
      <c r="P1236" s="11"/>
    </row>
    <row r="1237" spans="7:16" x14ac:dyDescent="0.25">
      <c r="G1237" s="698"/>
      <c r="H1237" s="12"/>
      <c r="I1237" s="12"/>
      <c r="J1237" s="12"/>
      <c r="K1237" s="12"/>
      <c r="L1237" s="12"/>
      <c r="M1237" s="11"/>
      <c r="N1237" s="11"/>
      <c r="O1237" s="11"/>
      <c r="P1237" s="11"/>
    </row>
    <row r="1238" spans="7:16" x14ac:dyDescent="0.25">
      <c r="G1238" s="698"/>
      <c r="H1238" s="12"/>
      <c r="I1238" s="12"/>
      <c r="J1238" s="12"/>
      <c r="K1238" s="12"/>
      <c r="L1238" s="12"/>
      <c r="M1238" s="11"/>
      <c r="N1238" s="11"/>
      <c r="O1238" s="11"/>
      <c r="P1238" s="11"/>
    </row>
    <row r="1239" spans="7:16" x14ac:dyDescent="0.25">
      <c r="G1239" s="698"/>
      <c r="H1239" s="12"/>
      <c r="I1239" s="12"/>
      <c r="J1239" s="12"/>
      <c r="K1239" s="12"/>
      <c r="L1239" s="12"/>
      <c r="M1239" s="11"/>
      <c r="N1239" s="11"/>
      <c r="O1239" s="11"/>
      <c r="P1239" s="11"/>
    </row>
    <row r="1240" spans="7:16" x14ac:dyDescent="0.25">
      <c r="G1240" s="698"/>
      <c r="H1240" s="12"/>
      <c r="I1240" s="12"/>
      <c r="J1240" s="12"/>
      <c r="K1240" s="12"/>
      <c r="L1240" s="12"/>
      <c r="M1240" s="11"/>
      <c r="N1240" s="11"/>
      <c r="O1240" s="11"/>
      <c r="P1240" s="11"/>
    </row>
    <row r="1241" spans="7:16" x14ac:dyDescent="0.25">
      <c r="G1241" s="698"/>
      <c r="H1241" s="12"/>
      <c r="I1241" s="12"/>
      <c r="J1241" s="12"/>
      <c r="K1241" s="12"/>
      <c r="L1241" s="12"/>
      <c r="M1241" s="11"/>
      <c r="N1241" s="11"/>
      <c r="O1241" s="11"/>
      <c r="P1241" s="11"/>
    </row>
    <row r="1242" spans="7:16" x14ac:dyDescent="0.25">
      <c r="G1242" s="698"/>
      <c r="H1242" s="12"/>
      <c r="I1242" s="12"/>
      <c r="J1242" s="12"/>
      <c r="K1242" s="12"/>
      <c r="L1242" s="12"/>
      <c r="M1242" s="11"/>
      <c r="N1242" s="11"/>
      <c r="O1242" s="11"/>
      <c r="P1242" s="11"/>
    </row>
    <row r="1243" spans="7:16" x14ac:dyDescent="0.25">
      <c r="G1243" s="698"/>
      <c r="H1243" s="12"/>
      <c r="I1243" s="12"/>
      <c r="J1243" s="12"/>
      <c r="K1243" s="12"/>
      <c r="L1243" s="12"/>
      <c r="M1243" s="11"/>
      <c r="N1243" s="11"/>
      <c r="O1243" s="11"/>
      <c r="P1243" s="11"/>
    </row>
    <row r="1244" spans="7:16" x14ac:dyDescent="0.25">
      <c r="G1244" s="698"/>
      <c r="H1244" s="12"/>
      <c r="I1244" s="12"/>
      <c r="J1244" s="12"/>
      <c r="K1244" s="12"/>
      <c r="L1244" s="12"/>
      <c r="M1244" s="11"/>
      <c r="N1244" s="11"/>
      <c r="O1244" s="11"/>
      <c r="P1244" s="11"/>
    </row>
    <row r="1245" spans="7:16" x14ac:dyDescent="0.25">
      <c r="G1245" s="698"/>
      <c r="H1245" s="12"/>
      <c r="I1245" s="12"/>
      <c r="J1245" s="12"/>
      <c r="K1245" s="12"/>
      <c r="L1245" s="12"/>
      <c r="M1245" s="11"/>
      <c r="N1245" s="11"/>
      <c r="O1245" s="11"/>
      <c r="P1245" s="11"/>
    </row>
    <row r="1246" spans="7:16" x14ac:dyDescent="0.25">
      <c r="G1246" s="698"/>
      <c r="H1246" s="12"/>
      <c r="I1246" s="12"/>
      <c r="J1246" s="12"/>
      <c r="K1246" s="12"/>
      <c r="L1246" s="12"/>
      <c r="M1246" s="11"/>
      <c r="N1246" s="11"/>
      <c r="O1246" s="11"/>
      <c r="P1246" s="11"/>
    </row>
    <row r="1247" spans="7:16" x14ac:dyDescent="0.25">
      <c r="G1247" s="698"/>
      <c r="H1247" s="12"/>
      <c r="I1247" s="12"/>
      <c r="J1247" s="12"/>
      <c r="K1247" s="12"/>
      <c r="L1247" s="12"/>
      <c r="M1247" s="11"/>
      <c r="N1247" s="11"/>
      <c r="O1247" s="11"/>
      <c r="P1247" s="11"/>
    </row>
    <row r="1248" spans="7:16" x14ac:dyDescent="0.25">
      <c r="G1248" s="698"/>
      <c r="H1248" s="12"/>
      <c r="I1248" s="12"/>
      <c r="J1248" s="12"/>
      <c r="K1248" s="12"/>
      <c r="L1248" s="12"/>
      <c r="M1248" s="11"/>
      <c r="N1248" s="11"/>
      <c r="O1248" s="11"/>
      <c r="P1248" s="11"/>
    </row>
    <row r="1249" spans="7:16" x14ac:dyDescent="0.25">
      <c r="G1249" s="698"/>
      <c r="H1249" s="12"/>
      <c r="I1249" s="12"/>
      <c r="J1249" s="12"/>
      <c r="K1249" s="12"/>
      <c r="L1249" s="12"/>
      <c r="M1249" s="11"/>
      <c r="N1249" s="11"/>
      <c r="O1249" s="11"/>
      <c r="P1249" s="11"/>
    </row>
    <row r="1250" spans="7:16" x14ac:dyDescent="0.25">
      <c r="G1250" s="698"/>
      <c r="H1250" s="12"/>
      <c r="I1250" s="12"/>
      <c r="J1250" s="12"/>
      <c r="K1250" s="12"/>
      <c r="L1250" s="12"/>
      <c r="M1250" s="11"/>
      <c r="N1250" s="11"/>
      <c r="O1250" s="11"/>
      <c r="P1250" s="11"/>
    </row>
    <row r="1251" spans="7:16" x14ac:dyDescent="0.25">
      <c r="G1251" s="698"/>
      <c r="H1251" s="12"/>
      <c r="I1251" s="12"/>
      <c r="J1251" s="12"/>
      <c r="K1251" s="12"/>
      <c r="L1251" s="12"/>
      <c r="M1251" s="11"/>
      <c r="N1251" s="11"/>
      <c r="O1251" s="11"/>
      <c r="P1251" s="11"/>
    </row>
    <row r="1252" spans="7:16" x14ac:dyDescent="0.25">
      <c r="G1252" s="698"/>
      <c r="H1252" s="12"/>
      <c r="I1252" s="12"/>
      <c r="J1252" s="12"/>
      <c r="K1252" s="12"/>
      <c r="L1252" s="12"/>
      <c r="M1252" s="11"/>
      <c r="N1252" s="11"/>
      <c r="O1252" s="11"/>
      <c r="P1252" s="11"/>
    </row>
    <row r="1253" spans="7:16" x14ac:dyDescent="0.25">
      <c r="G1253" s="698"/>
      <c r="H1253" s="12"/>
      <c r="I1253" s="12"/>
      <c r="J1253" s="12"/>
      <c r="K1253" s="12"/>
      <c r="L1253" s="12"/>
      <c r="M1253" s="11"/>
      <c r="N1253" s="11"/>
      <c r="O1253" s="11"/>
      <c r="P1253" s="11"/>
    </row>
    <row r="1254" spans="7:16" x14ac:dyDescent="0.25">
      <c r="G1254" s="698"/>
      <c r="H1254" s="12"/>
      <c r="I1254" s="12"/>
      <c r="J1254" s="12"/>
      <c r="K1254" s="12"/>
      <c r="L1254" s="12"/>
      <c r="M1254" s="11"/>
      <c r="N1254" s="11"/>
      <c r="O1254" s="11"/>
      <c r="P1254" s="11"/>
    </row>
    <row r="1255" spans="7:16" x14ac:dyDescent="0.25">
      <c r="G1255" s="698"/>
      <c r="H1255" s="12"/>
      <c r="I1255" s="12"/>
      <c r="J1255" s="12"/>
      <c r="K1255" s="12"/>
      <c r="L1255" s="12"/>
      <c r="M1255" s="11"/>
      <c r="N1255" s="11"/>
      <c r="O1255" s="11"/>
      <c r="P1255" s="11"/>
    </row>
    <row r="1256" spans="7:16" x14ac:dyDescent="0.25">
      <c r="G1256" s="698"/>
      <c r="H1256" s="12"/>
      <c r="I1256" s="12"/>
      <c r="J1256" s="12"/>
      <c r="K1256" s="12"/>
      <c r="L1256" s="12"/>
      <c r="M1256" s="11"/>
      <c r="N1256" s="11"/>
      <c r="O1256" s="11"/>
      <c r="P1256" s="11"/>
    </row>
    <row r="1257" spans="7:16" x14ac:dyDescent="0.25">
      <c r="G1257" s="698"/>
      <c r="H1257" s="12"/>
      <c r="I1257" s="12"/>
      <c r="J1257" s="12"/>
      <c r="K1257" s="12"/>
      <c r="L1257" s="12"/>
      <c r="M1257" s="11"/>
      <c r="N1257" s="11"/>
      <c r="O1257" s="11"/>
      <c r="P1257" s="11"/>
    </row>
    <row r="1258" spans="7:16" x14ac:dyDescent="0.25">
      <c r="G1258" s="698"/>
      <c r="H1258" s="12"/>
      <c r="I1258" s="12"/>
      <c r="J1258" s="12"/>
      <c r="K1258" s="12"/>
      <c r="L1258" s="12"/>
      <c r="M1258" s="11"/>
      <c r="N1258" s="11"/>
      <c r="O1258" s="11"/>
      <c r="P1258" s="11"/>
    </row>
    <row r="1259" spans="7:16" x14ac:dyDescent="0.25">
      <c r="G1259" s="698"/>
      <c r="H1259" s="12"/>
      <c r="I1259" s="12"/>
      <c r="J1259" s="12"/>
      <c r="K1259" s="12"/>
      <c r="L1259" s="12"/>
      <c r="M1259" s="11"/>
      <c r="N1259" s="11"/>
      <c r="O1259" s="11"/>
      <c r="P1259" s="11"/>
    </row>
    <row r="1260" spans="7:16" x14ac:dyDescent="0.25">
      <c r="G1260" s="698"/>
      <c r="H1260" s="12"/>
      <c r="I1260" s="12"/>
      <c r="J1260" s="12"/>
      <c r="K1260" s="12"/>
      <c r="L1260" s="12"/>
      <c r="M1260" s="11"/>
      <c r="N1260" s="11"/>
      <c r="O1260" s="11"/>
      <c r="P1260" s="11"/>
    </row>
    <row r="1261" spans="7:16" x14ac:dyDescent="0.25">
      <c r="G1261" s="698"/>
      <c r="H1261" s="12"/>
      <c r="I1261" s="12"/>
      <c r="J1261" s="12"/>
      <c r="K1261" s="12"/>
      <c r="L1261" s="12"/>
      <c r="M1261" s="11"/>
      <c r="N1261" s="11"/>
      <c r="O1261" s="11"/>
      <c r="P1261" s="11"/>
    </row>
    <row r="1262" spans="7:16" x14ac:dyDescent="0.25">
      <c r="G1262" s="698"/>
      <c r="H1262" s="12"/>
      <c r="I1262" s="12"/>
      <c r="J1262" s="12"/>
      <c r="K1262" s="12"/>
      <c r="L1262" s="12"/>
      <c r="M1262" s="11"/>
      <c r="N1262" s="11"/>
      <c r="O1262" s="11"/>
      <c r="P1262" s="11"/>
    </row>
    <row r="1263" spans="7:16" x14ac:dyDescent="0.25">
      <c r="G1263" s="698"/>
      <c r="H1263" s="12"/>
      <c r="I1263" s="12"/>
      <c r="J1263" s="12"/>
      <c r="K1263" s="12"/>
      <c r="L1263" s="12"/>
      <c r="M1263" s="11"/>
      <c r="N1263" s="11"/>
      <c r="O1263" s="11"/>
      <c r="P1263" s="11"/>
    </row>
    <row r="1264" spans="7:16" x14ac:dyDescent="0.25">
      <c r="G1264" s="698"/>
      <c r="H1264" s="12"/>
      <c r="I1264" s="12"/>
      <c r="J1264" s="12"/>
      <c r="K1264" s="12"/>
      <c r="L1264" s="12"/>
      <c r="M1264" s="11"/>
      <c r="N1264" s="11"/>
      <c r="O1264" s="11"/>
      <c r="P1264" s="11"/>
    </row>
    <row r="1265" spans="7:16" x14ac:dyDescent="0.25">
      <c r="G1265" s="698"/>
      <c r="H1265" s="12"/>
      <c r="I1265" s="12"/>
      <c r="J1265" s="12"/>
      <c r="K1265" s="12"/>
      <c r="L1265" s="12"/>
      <c r="M1265" s="11"/>
      <c r="N1265" s="11"/>
      <c r="O1265" s="11"/>
      <c r="P1265" s="11"/>
    </row>
    <row r="1266" spans="7:16" x14ac:dyDescent="0.25">
      <c r="G1266" s="698"/>
      <c r="H1266" s="12"/>
      <c r="I1266" s="12"/>
      <c r="J1266" s="12"/>
      <c r="K1266" s="12"/>
      <c r="L1266" s="12"/>
      <c r="M1266" s="11"/>
      <c r="N1266" s="11"/>
      <c r="O1266" s="11"/>
      <c r="P1266" s="11"/>
    </row>
    <row r="1267" spans="7:16" x14ac:dyDescent="0.25">
      <c r="G1267" s="698"/>
      <c r="H1267" s="12"/>
      <c r="I1267" s="12"/>
      <c r="J1267" s="12"/>
      <c r="K1267" s="12"/>
      <c r="L1267" s="12"/>
      <c r="M1267" s="11"/>
      <c r="N1267" s="11"/>
      <c r="O1267" s="11"/>
      <c r="P1267" s="11"/>
    </row>
    <row r="1268" spans="7:16" x14ac:dyDescent="0.25">
      <c r="G1268" s="698"/>
      <c r="H1268" s="12"/>
      <c r="I1268" s="12"/>
      <c r="J1268" s="12"/>
      <c r="K1268" s="12"/>
      <c r="L1268" s="12"/>
      <c r="M1268" s="11"/>
      <c r="N1268" s="11"/>
      <c r="O1268" s="11"/>
      <c r="P1268" s="11"/>
    </row>
    <row r="1269" spans="7:16" x14ac:dyDescent="0.25">
      <c r="G1269" s="698"/>
      <c r="H1269" s="12"/>
      <c r="I1269" s="12"/>
      <c r="J1269" s="12"/>
      <c r="K1269" s="12"/>
      <c r="L1269" s="12"/>
      <c r="M1269" s="11"/>
      <c r="N1269" s="11"/>
      <c r="O1269" s="11"/>
      <c r="P1269" s="11"/>
    </row>
    <row r="1270" spans="7:16" x14ac:dyDescent="0.25">
      <c r="G1270" s="698"/>
      <c r="H1270" s="12"/>
      <c r="I1270" s="12"/>
      <c r="J1270" s="12"/>
      <c r="K1270" s="12"/>
      <c r="L1270" s="12"/>
      <c r="M1270" s="11"/>
      <c r="N1270" s="11"/>
      <c r="O1270" s="11"/>
      <c r="P1270" s="11"/>
    </row>
    <row r="1271" spans="7:16" x14ac:dyDescent="0.25">
      <c r="G1271" s="698"/>
      <c r="H1271" s="12"/>
      <c r="I1271" s="12"/>
      <c r="J1271" s="12"/>
      <c r="K1271" s="12"/>
      <c r="L1271" s="12"/>
      <c r="M1271" s="11"/>
      <c r="N1271" s="11"/>
      <c r="O1271" s="11"/>
      <c r="P1271" s="11"/>
    </row>
    <row r="1272" spans="7:16" x14ac:dyDescent="0.25">
      <c r="G1272" s="698"/>
      <c r="H1272" s="12"/>
      <c r="I1272" s="12"/>
      <c r="J1272" s="12"/>
      <c r="K1272" s="12"/>
      <c r="L1272" s="12"/>
      <c r="M1272" s="11"/>
      <c r="N1272" s="11"/>
      <c r="O1272" s="11"/>
      <c r="P1272" s="11"/>
    </row>
    <row r="1273" spans="7:16" x14ac:dyDescent="0.25">
      <c r="G1273" s="698"/>
      <c r="H1273" s="12"/>
      <c r="I1273" s="12"/>
      <c r="J1273" s="12"/>
      <c r="K1273" s="12"/>
      <c r="L1273" s="12"/>
      <c r="M1273" s="11"/>
      <c r="N1273" s="11"/>
      <c r="O1273" s="11"/>
      <c r="P1273" s="11"/>
    </row>
    <row r="1274" spans="7:16" x14ac:dyDescent="0.25">
      <c r="G1274" s="698"/>
      <c r="H1274" s="12"/>
      <c r="I1274" s="12"/>
      <c r="J1274" s="12"/>
      <c r="K1274" s="12"/>
      <c r="L1274" s="12"/>
      <c r="M1274" s="11"/>
      <c r="N1274" s="11"/>
      <c r="O1274" s="11"/>
      <c r="P1274" s="11"/>
    </row>
    <row r="1275" spans="7:16" x14ac:dyDescent="0.25">
      <c r="G1275" s="698"/>
      <c r="H1275" s="12"/>
      <c r="I1275" s="12"/>
      <c r="J1275" s="12"/>
      <c r="K1275" s="12"/>
      <c r="L1275" s="12"/>
      <c r="M1275" s="11"/>
      <c r="N1275" s="11"/>
      <c r="O1275" s="11"/>
      <c r="P1275" s="11"/>
    </row>
    <row r="1276" spans="7:16" x14ac:dyDescent="0.25">
      <c r="G1276" s="698"/>
      <c r="H1276" s="12"/>
      <c r="I1276" s="12"/>
      <c r="J1276" s="12"/>
      <c r="K1276" s="12"/>
      <c r="L1276" s="12"/>
      <c r="M1276" s="11"/>
      <c r="N1276" s="11"/>
      <c r="O1276" s="11"/>
      <c r="P1276" s="11"/>
    </row>
    <row r="1277" spans="7:16" x14ac:dyDescent="0.25">
      <c r="G1277" s="698"/>
      <c r="H1277" s="12"/>
      <c r="I1277" s="12"/>
      <c r="J1277" s="12"/>
      <c r="K1277" s="12"/>
      <c r="L1277" s="12"/>
      <c r="M1277" s="11"/>
      <c r="N1277" s="11"/>
      <c r="O1277" s="11"/>
      <c r="P1277" s="11"/>
    </row>
    <row r="1278" spans="7:16" x14ac:dyDescent="0.25">
      <c r="G1278" s="698"/>
      <c r="H1278" s="12"/>
      <c r="I1278" s="12"/>
      <c r="J1278" s="12"/>
      <c r="K1278" s="12"/>
      <c r="L1278" s="12"/>
      <c r="M1278" s="11"/>
      <c r="N1278" s="11"/>
      <c r="O1278" s="11"/>
      <c r="P1278" s="11"/>
    </row>
    <row r="1279" spans="7:16" x14ac:dyDescent="0.25">
      <c r="G1279" s="698"/>
      <c r="H1279" s="12"/>
      <c r="I1279" s="12"/>
      <c r="J1279" s="12"/>
      <c r="K1279" s="12"/>
      <c r="L1279" s="12"/>
      <c r="M1279" s="11"/>
      <c r="N1279" s="11"/>
      <c r="O1279" s="11"/>
      <c r="P1279" s="11"/>
    </row>
    <row r="1280" spans="7:16" x14ac:dyDescent="0.25">
      <c r="G1280" s="698"/>
      <c r="H1280" s="12"/>
      <c r="I1280" s="12"/>
      <c r="J1280" s="12"/>
      <c r="K1280" s="12"/>
      <c r="L1280" s="12"/>
      <c r="M1280" s="11"/>
      <c r="N1280" s="11"/>
      <c r="O1280" s="11"/>
      <c r="P1280" s="11"/>
    </row>
    <row r="1281" spans="7:16" x14ac:dyDescent="0.25">
      <c r="G1281" s="698"/>
      <c r="H1281" s="12"/>
      <c r="I1281" s="12"/>
      <c r="J1281" s="12"/>
      <c r="K1281" s="12"/>
      <c r="L1281" s="12"/>
      <c r="M1281" s="11"/>
      <c r="N1281" s="11"/>
      <c r="O1281" s="11"/>
      <c r="P1281" s="11"/>
    </row>
    <row r="1282" spans="7:16" x14ac:dyDescent="0.25">
      <c r="G1282" s="698"/>
      <c r="H1282" s="12"/>
      <c r="I1282" s="12"/>
      <c r="J1282" s="12"/>
      <c r="K1282" s="12"/>
      <c r="L1282" s="12"/>
      <c r="M1282" s="11"/>
      <c r="N1282" s="11"/>
      <c r="O1282" s="11"/>
      <c r="P1282" s="11"/>
    </row>
    <row r="1283" spans="7:16" x14ac:dyDescent="0.25">
      <c r="G1283" s="698"/>
      <c r="H1283" s="12"/>
      <c r="I1283" s="12"/>
      <c r="J1283" s="12"/>
      <c r="K1283" s="12"/>
      <c r="L1283" s="12"/>
      <c r="M1283" s="11"/>
      <c r="N1283" s="11"/>
      <c r="O1283" s="11"/>
      <c r="P1283" s="11"/>
    </row>
    <row r="1284" spans="7:16" x14ac:dyDescent="0.25">
      <c r="G1284" s="698"/>
      <c r="H1284" s="12"/>
      <c r="I1284" s="12"/>
      <c r="J1284" s="12"/>
      <c r="K1284" s="12"/>
      <c r="L1284" s="12"/>
      <c r="M1284" s="11"/>
      <c r="N1284" s="11"/>
      <c r="O1284" s="11"/>
      <c r="P1284" s="11"/>
    </row>
    <row r="1285" spans="7:16" x14ac:dyDescent="0.25">
      <c r="G1285" s="698"/>
      <c r="H1285" s="12"/>
      <c r="I1285" s="12"/>
      <c r="J1285" s="12"/>
      <c r="K1285" s="12"/>
      <c r="L1285" s="12"/>
      <c r="M1285" s="11"/>
      <c r="N1285" s="11"/>
      <c r="O1285" s="11"/>
      <c r="P1285" s="11"/>
    </row>
    <row r="1286" spans="7:16" x14ac:dyDescent="0.25">
      <c r="G1286" s="698"/>
      <c r="H1286" s="12"/>
      <c r="I1286" s="12"/>
      <c r="J1286" s="12"/>
      <c r="K1286" s="12"/>
      <c r="L1286" s="12"/>
      <c r="M1286" s="11"/>
      <c r="N1286" s="11"/>
      <c r="O1286" s="11"/>
      <c r="P1286" s="11"/>
    </row>
    <row r="1287" spans="7:16" x14ac:dyDescent="0.25">
      <c r="G1287" s="698"/>
      <c r="H1287" s="12"/>
      <c r="I1287" s="12"/>
      <c r="J1287" s="12"/>
      <c r="K1287" s="12"/>
      <c r="L1287" s="12"/>
      <c r="M1287" s="11"/>
      <c r="N1287" s="11"/>
      <c r="O1287" s="11"/>
      <c r="P1287" s="11"/>
    </row>
    <row r="1288" spans="7:16" x14ac:dyDescent="0.25">
      <c r="G1288" s="698"/>
      <c r="H1288" s="12"/>
      <c r="I1288" s="12"/>
      <c r="J1288" s="12"/>
      <c r="K1288" s="12"/>
      <c r="L1288" s="12"/>
      <c r="M1288" s="11"/>
      <c r="N1288" s="11"/>
      <c r="O1288" s="11"/>
      <c r="P1288" s="11"/>
    </row>
    <row r="1289" spans="7:16" x14ac:dyDescent="0.25">
      <c r="G1289" s="698"/>
      <c r="H1289" s="12"/>
      <c r="I1289" s="12"/>
      <c r="J1289" s="12"/>
      <c r="K1289" s="12"/>
      <c r="L1289" s="12"/>
      <c r="M1289" s="11"/>
      <c r="N1289" s="11"/>
      <c r="O1289" s="11"/>
      <c r="P1289" s="11"/>
    </row>
    <row r="1290" spans="7:16" x14ac:dyDescent="0.25">
      <c r="G1290" s="698"/>
      <c r="H1290" s="12"/>
      <c r="I1290" s="12"/>
      <c r="J1290" s="12"/>
      <c r="K1290" s="12"/>
      <c r="L1290" s="12"/>
      <c r="M1290" s="11"/>
      <c r="N1290" s="11"/>
      <c r="O1290" s="11"/>
      <c r="P1290" s="11"/>
    </row>
    <row r="1291" spans="7:16" x14ac:dyDescent="0.25">
      <c r="G1291" s="698"/>
      <c r="H1291" s="12"/>
      <c r="I1291" s="12"/>
      <c r="J1291" s="12"/>
      <c r="K1291" s="12"/>
      <c r="L1291" s="12"/>
      <c r="M1291" s="11"/>
      <c r="N1291" s="11"/>
      <c r="O1291" s="11"/>
      <c r="P1291" s="11"/>
    </row>
    <row r="1292" spans="7:16" x14ac:dyDescent="0.25">
      <c r="G1292" s="698"/>
      <c r="H1292" s="12"/>
      <c r="I1292" s="12"/>
      <c r="J1292" s="12"/>
      <c r="K1292" s="12"/>
      <c r="L1292" s="12"/>
      <c r="M1292" s="11"/>
      <c r="N1292" s="11"/>
      <c r="O1292" s="11"/>
      <c r="P1292" s="11"/>
    </row>
    <row r="1293" spans="7:16" x14ac:dyDescent="0.25">
      <c r="G1293" s="698"/>
      <c r="H1293" s="12"/>
      <c r="I1293" s="12"/>
      <c r="J1293" s="12"/>
      <c r="K1293" s="12"/>
      <c r="L1293" s="12"/>
      <c r="M1293" s="11"/>
      <c r="N1293" s="11"/>
      <c r="O1293" s="11"/>
      <c r="P1293" s="11"/>
    </row>
    <row r="1294" spans="7:16" x14ac:dyDescent="0.25">
      <c r="G1294" s="698"/>
      <c r="H1294" s="12"/>
      <c r="I1294" s="12"/>
      <c r="J1294" s="12"/>
      <c r="K1294" s="12"/>
      <c r="L1294" s="12"/>
      <c r="M1294" s="11"/>
      <c r="N1294" s="11"/>
      <c r="O1294" s="11"/>
      <c r="P1294" s="11"/>
    </row>
    <row r="1295" spans="7:16" x14ac:dyDescent="0.25">
      <c r="G1295" s="698"/>
      <c r="H1295" s="12"/>
      <c r="I1295" s="12"/>
      <c r="J1295" s="12"/>
      <c r="K1295" s="12"/>
      <c r="L1295" s="12"/>
      <c r="M1295" s="11"/>
      <c r="N1295" s="11"/>
      <c r="O1295" s="11"/>
      <c r="P1295" s="11"/>
    </row>
    <row r="1296" spans="7:16" x14ac:dyDescent="0.25">
      <c r="G1296" s="698"/>
      <c r="H1296" s="12"/>
      <c r="I1296" s="12"/>
      <c r="J1296" s="12"/>
      <c r="K1296" s="12"/>
      <c r="L1296" s="12"/>
      <c r="M1296" s="11"/>
      <c r="N1296" s="11"/>
      <c r="O1296" s="11"/>
      <c r="P1296" s="11"/>
    </row>
    <row r="1297" spans="7:16" x14ac:dyDescent="0.25">
      <c r="G1297" s="698"/>
      <c r="H1297" s="12"/>
      <c r="I1297" s="12"/>
      <c r="J1297" s="12"/>
      <c r="K1297" s="12"/>
      <c r="L1297" s="12"/>
      <c r="M1297" s="11"/>
      <c r="N1297" s="11"/>
      <c r="O1297" s="11"/>
      <c r="P1297" s="11"/>
    </row>
    <row r="1298" spans="7:16" x14ac:dyDescent="0.25">
      <c r="G1298" s="698"/>
      <c r="H1298" s="12"/>
      <c r="I1298" s="12"/>
      <c r="J1298" s="12"/>
      <c r="K1298" s="12"/>
      <c r="L1298" s="12"/>
      <c r="M1298" s="11"/>
      <c r="N1298" s="11"/>
      <c r="O1298" s="11"/>
      <c r="P1298" s="11"/>
    </row>
    <row r="1299" spans="7:16" x14ac:dyDescent="0.25">
      <c r="G1299" s="698"/>
      <c r="H1299" s="12"/>
      <c r="I1299" s="12"/>
      <c r="J1299" s="12"/>
      <c r="K1299" s="12"/>
      <c r="L1299" s="12"/>
      <c r="M1299" s="11"/>
      <c r="N1299" s="11"/>
      <c r="O1299" s="11"/>
      <c r="P1299" s="11"/>
    </row>
    <row r="1300" spans="7:16" x14ac:dyDescent="0.25">
      <c r="G1300" s="698"/>
      <c r="H1300" s="12"/>
      <c r="I1300" s="12"/>
      <c r="J1300" s="12"/>
      <c r="K1300" s="12"/>
      <c r="L1300" s="12"/>
      <c r="M1300" s="11"/>
      <c r="N1300" s="11"/>
      <c r="O1300" s="11"/>
      <c r="P1300" s="11"/>
    </row>
    <row r="1301" spans="7:16" x14ac:dyDescent="0.25">
      <c r="G1301" s="698"/>
      <c r="H1301" s="12"/>
      <c r="I1301" s="12"/>
      <c r="J1301" s="12"/>
      <c r="K1301" s="12"/>
      <c r="L1301" s="12"/>
      <c r="M1301" s="11"/>
      <c r="N1301" s="11"/>
      <c r="O1301" s="11"/>
      <c r="P1301" s="11"/>
    </row>
    <row r="1302" spans="7:16" x14ac:dyDescent="0.25">
      <c r="G1302" s="698"/>
      <c r="H1302" s="12"/>
      <c r="I1302" s="12"/>
      <c r="J1302" s="12"/>
      <c r="K1302" s="12"/>
      <c r="L1302" s="12"/>
      <c r="M1302" s="11"/>
      <c r="N1302" s="11"/>
      <c r="O1302" s="11"/>
      <c r="P1302" s="11"/>
    </row>
    <row r="1303" spans="7:16" x14ac:dyDescent="0.25">
      <c r="G1303" s="698"/>
      <c r="H1303" s="12"/>
      <c r="I1303" s="12"/>
      <c r="J1303" s="12"/>
      <c r="K1303" s="12"/>
      <c r="L1303" s="12"/>
      <c r="M1303" s="11"/>
      <c r="N1303" s="11"/>
      <c r="O1303" s="11"/>
      <c r="P1303" s="11"/>
    </row>
    <row r="1304" spans="7:16" x14ac:dyDescent="0.25">
      <c r="G1304" s="698"/>
      <c r="H1304" s="12"/>
      <c r="I1304" s="12"/>
      <c r="J1304" s="12"/>
      <c r="K1304" s="12"/>
      <c r="L1304" s="12"/>
      <c r="M1304" s="11"/>
      <c r="N1304" s="11"/>
      <c r="O1304" s="11"/>
      <c r="P1304" s="11"/>
    </row>
    <row r="1305" spans="7:16" x14ac:dyDescent="0.25">
      <c r="G1305" s="698"/>
      <c r="H1305" s="12"/>
      <c r="I1305" s="12"/>
      <c r="J1305" s="12"/>
      <c r="K1305" s="12"/>
      <c r="L1305" s="12"/>
      <c r="M1305" s="11"/>
      <c r="N1305" s="11"/>
      <c r="O1305" s="11"/>
      <c r="P1305" s="11"/>
    </row>
    <row r="1306" spans="7:16" x14ac:dyDescent="0.25">
      <c r="G1306" s="698"/>
      <c r="H1306" s="12"/>
      <c r="I1306" s="12"/>
      <c r="J1306" s="12"/>
      <c r="K1306" s="12"/>
      <c r="L1306" s="12"/>
      <c r="M1306" s="11"/>
      <c r="N1306" s="11"/>
      <c r="O1306" s="11"/>
      <c r="P1306" s="11"/>
    </row>
    <row r="1307" spans="7:16" x14ac:dyDescent="0.25">
      <c r="G1307" s="698"/>
      <c r="H1307" s="12"/>
      <c r="I1307" s="12"/>
      <c r="J1307" s="12"/>
      <c r="K1307" s="12"/>
      <c r="L1307" s="12"/>
      <c r="M1307" s="11"/>
      <c r="N1307" s="11"/>
      <c r="O1307" s="11"/>
      <c r="P1307" s="11"/>
    </row>
    <row r="1308" spans="7:16" x14ac:dyDescent="0.25">
      <c r="G1308" s="698"/>
      <c r="H1308" s="12"/>
      <c r="I1308" s="12"/>
      <c r="J1308" s="12"/>
      <c r="K1308" s="12"/>
      <c r="L1308" s="12"/>
      <c r="M1308" s="11"/>
      <c r="N1308" s="11"/>
      <c r="O1308" s="11"/>
      <c r="P1308" s="11"/>
    </row>
    <row r="1309" spans="7:16" x14ac:dyDescent="0.25">
      <c r="G1309" s="698"/>
      <c r="H1309" s="12"/>
      <c r="I1309" s="12"/>
      <c r="J1309" s="12"/>
      <c r="K1309" s="12"/>
      <c r="L1309" s="12"/>
      <c r="M1309" s="11"/>
      <c r="N1309" s="11"/>
      <c r="O1309" s="11"/>
      <c r="P1309" s="11"/>
    </row>
    <row r="1310" spans="7:16" x14ac:dyDescent="0.25">
      <c r="G1310" s="698"/>
      <c r="H1310" s="12"/>
      <c r="I1310" s="12"/>
      <c r="J1310" s="12"/>
      <c r="K1310" s="12"/>
      <c r="L1310" s="12"/>
      <c r="M1310" s="11"/>
      <c r="N1310" s="11"/>
      <c r="O1310" s="11"/>
      <c r="P1310" s="11"/>
    </row>
    <row r="1311" spans="7:16" x14ac:dyDescent="0.25">
      <c r="G1311" s="698"/>
      <c r="H1311" s="12"/>
      <c r="I1311" s="12"/>
      <c r="J1311" s="12"/>
      <c r="K1311" s="12"/>
      <c r="L1311" s="12"/>
      <c r="M1311" s="11"/>
      <c r="N1311" s="11"/>
      <c r="O1311" s="11"/>
      <c r="P1311" s="11"/>
    </row>
    <row r="1312" spans="7:16" x14ac:dyDescent="0.25">
      <c r="G1312" s="698"/>
      <c r="H1312" s="12"/>
      <c r="I1312" s="12"/>
      <c r="J1312" s="12"/>
      <c r="K1312" s="12"/>
      <c r="L1312" s="12"/>
      <c r="M1312" s="11"/>
      <c r="N1312" s="11"/>
      <c r="O1312" s="11"/>
      <c r="P1312" s="11"/>
    </row>
    <row r="1313" spans="7:16" x14ac:dyDescent="0.25">
      <c r="G1313" s="698"/>
      <c r="H1313" s="12"/>
      <c r="I1313" s="12"/>
      <c r="J1313" s="12"/>
      <c r="K1313" s="12"/>
      <c r="L1313" s="12"/>
      <c r="M1313" s="11"/>
      <c r="N1313" s="11"/>
      <c r="O1313" s="11"/>
      <c r="P1313" s="11"/>
    </row>
    <row r="1314" spans="7:16" x14ac:dyDescent="0.25">
      <c r="G1314" s="698"/>
      <c r="H1314" s="12"/>
      <c r="I1314" s="12"/>
      <c r="J1314" s="12"/>
      <c r="K1314" s="12"/>
      <c r="L1314" s="12"/>
      <c r="M1314" s="11"/>
      <c r="N1314" s="11"/>
      <c r="O1314" s="11"/>
      <c r="P1314" s="11"/>
    </row>
    <row r="1315" spans="7:16" x14ac:dyDescent="0.25">
      <c r="G1315" s="698"/>
      <c r="H1315" s="12"/>
      <c r="I1315" s="12"/>
      <c r="J1315" s="12"/>
      <c r="K1315" s="12"/>
      <c r="L1315" s="12"/>
      <c r="M1315" s="11"/>
      <c r="N1315" s="11"/>
      <c r="O1315" s="11"/>
      <c r="P1315" s="11"/>
    </row>
    <row r="1316" spans="7:16" x14ac:dyDescent="0.25">
      <c r="G1316" s="698"/>
      <c r="H1316" s="12"/>
      <c r="I1316" s="12"/>
      <c r="J1316" s="12"/>
      <c r="K1316" s="12"/>
      <c r="L1316" s="12"/>
      <c r="M1316" s="11"/>
      <c r="N1316" s="11"/>
      <c r="O1316" s="11"/>
      <c r="P1316" s="11"/>
    </row>
    <row r="1317" spans="7:16" x14ac:dyDescent="0.25">
      <c r="G1317" s="698"/>
      <c r="H1317" s="12"/>
      <c r="I1317" s="12"/>
      <c r="J1317" s="12"/>
      <c r="K1317" s="12"/>
      <c r="L1317" s="12"/>
      <c r="M1317" s="11"/>
      <c r="N1317" s="11"/>
      <c r="O1317" s="11"/>
      <c r="P1317" s="11"/>
    </row>
    <row r="1318" spans="7:16" x14ac:dyDescent="0.25">
      <c r="G1318" s="698"/>
      <c r="H1318" s="12"/>
      <c r="I1318" s="12"/>
      <c r="J1318" s="12"/>
      <c r="K1318" s="12"/>
      <c r="L1318" s="12"/>
      <c r="M1318" s="11"/>
      <c r="N1318" s="11"/>
      <c r="O1318" s="11"/>
      <c r="P1318" s="11"/>
    </row>
    <row r="1319" spans="7:16" x14ac:dyDescent="0.25">
      <c r="G1319" s="698"/>
      <c r="H1319" s="12"/>
      <c r="I1319" s="12"/>
      <c r="J1319" s="12"/>
      <c r="K1319" s="12"/>
      <c r="L1319" s="12"/>
      <c r="M1319" s="11"/>
      <c r="N1319" s="11"/>
      <c r="O1319" s="11"/>
      <c r="P1319" s="11"/>
    </row>
    <row r="1320" spans="7:16" x14ac:dyDescent="0.25">
      <c r="G1320" s="698"/>
      <c r="H1320" s="12"/>
      <c r="I1320" s="12"/>
      <c r="J1320" s="12"/>
      <c r="K1320" s="12"/>
      <c r="L1320" s="12"/>
      <c r="M1320" s="11"/>
      <c r="N1320" s="11"/>
      <c r="O1320" s="11"/>
      <c r="P1320" s="11"/>
    </row>
    <row r="1321" spans="7:16" x14ac:dyDescent="0.25">
      <c r="G1321" s="698"/>
      <c r="H1321" s="12"/>
      <c r="I1321" s="12"/>
      <c r="J1321" s="12"/>
      <c r="K1321" s="12"/>
      <c r="L1321" s="12"/>
      <c r="M1321" s="11"/>
      <c r="N1321" s="11"/>
      <c r="O1321" s="11"/>
      <c r="P1321" s="11"/>
    </row>
    <row r="1322" spans="7:16" x14ac:dyDescent="0.25">
      <c r="G1322" s="698"/>
      <c r="H1322" s="12"/>
      <c r="I1322" s="12"/>
      <c r="J1322" s="12"/>
      <c r="K1322" s="12"/>
      <c r="L1322" s="12"/>
      <c r="M1322" s="11"/>
      <c r="N1322" s="11"/>
      <c r="O1322" s="11"/>
      <c r="P1322" s="11"/>
    </row>
    <row r="1323" spans="7:16" x14ac:dyDescent="0.25">
      <c r="G1323" s="698"/>
      <c r="H1323" s="12"/>
      <c r="I1323" s="12"/>
      <c r="J1323" s="12"/>
      <c r="K1323" s="12"/>
      <c r="L1323" s="12"/>
      <c r="M1323" s="11"/>
      <c r="N1323" s="11"/>
      <c r="O1323" s="11"/>
      <c r="P1323" s="11"/>
    </row>
    <row r="1324" spans="7:16" x14ac:dyDescent="0.25">
      <c r="G1324" s="698"/>
      <c r="H1324" s="12"/>
      <c r="I1324" s="12"/>
      <c r="J1324" s="12"/>
      <c r="K1324" s="12"/>
      <c r="L1324" s="12"/>
      <c r="M1324" s="11"/>
      <c r="N1324" s="11"/>
      <c r="O1324" s="11"/>
      <c r="P1324" s="11"/>
    </row>
    <row r="1325" spans="7:16" x14ac:dyDescent="0.25">
      <c r="G1325" s="698"/>
      <c r="H1325" s="12"/>
      <c r="I1325" s="12"/>
      <c r="J1325" s="12"/>
      <c r="K1325" s="12"/>
      <c r="L1325" s="12"/>
      <c r="M1325" s="11"/>
      <c r="N1325" s="11"/>
      <c r="O1325" s="11"/>
      <c r="P1325" s="11"/>
    </row>
    <row r="1326" spans="7:16" x14ac:dyDescent="0.25">
      <c r="G1326" s="698"/>
      <c r="H1326" s="12"/>
      <c r="I1326" s="12"/>
      <c r="J1326" s="12"/>
      <c r="K1326" s="12"/>
      <c r="L1326" s="12"/>
      <c r="M1326" s="11"/>
      <c r="N1326" s="11"/>
      <c r="O1326" s="11"/>
      <c r="P1326" s="11"/>
    </row>
    <row r="1327" spans="7:16" x14ac:dyDescent="0.25">
      <c r="G1327" s="698"/>
      <c r="H1327" s="12"/>
      <c r="I1327" s="12"/>
      <c r="J1327" s="12"/>
      <c r="K1327" s="12"/>
      <c r="L1327" s="12"/>
      <c r="M1327" s="11"/>
      <c r="N1327" s="11"/>
      <c r="O1327" s="11"/>
      <c r="P1327" s="11"/>
    </row>
    <row r="1328" spans="7:16" x14ac:dyDescent="0.25">
      <c r="G1328" s="698"/>
      <c r="H1328" s="12"/>
      <c r="I1328" s="12"/>
      <c r="J1328" s="12"/>
      <c r="K1328" s="12"/>
      <c r="L1328" s="12"/>
      <c r="M1328" s="11"/>
      <c r="N1328" s="11"/>
      <c r="O1328" s="11"/>
      <c r="P1328" s="11"/>
    </row>
    <row r="1329" spans="7:16" x14ac:dyDescent="0.25">
      <c r="G1329" s="698"/>
      <c r="H1329" s="12"/>
      <c r="I1329" s="12"/>
      <c r="J1329" s="12"/>
      <c r="K1329" s="12"/>
      <c r="L1329" s="12"/>
      <c r="M1329" s="11"/>
      <c r="N1329" s="11"/>
      <c r="O1329" s="11"/>
      <c r="P1329" s="11"/>
    </row>
    <row r="1330" spans="7:16" x14ac:dyDescent="0.25">
      <c r="G1330" s="698"/>
      <c r="H1330" s="12"/>
      <c r="I1330" s="12"/>
      <c r="J1330" s="12"/>
      <c r="K1330" s="12"/>
      <c r="L1330" s="12"/>
      <c r="M1330" s="11"/>
      <c r="N1330" s="11"/>
      <c r="O1330" s="11"/>
      <c r="P1330" s="11"/>
    </row>
    <row r="1331" spans="7:16" x14ac:dyDescent="0.25">
      <c r="G1331" s="698"/>
      <c r="H1331" s="12"/>
      <c r="I1331" s="12"/>
      <c r="J1331" s="12"/>
      <c r="K1331" s="12"/>
      <c r="L1331" s="12"/>
      <c r="M1331" s="11"/>
      <c r="N1331" s="11"/>
      <c r="O1331" s="11"/>
      <c r="P1331" s="11"/>
    </row>
    <row r="1332" spans="7:16" x14ac:dyDescent="0.25">
      <c r="G1332" s="698"/>
      <c r="H1332" s="12"/>
      <c r="I1332" s="12"/>
      <c r="J1332" s="12"/>
      <c r="K1332" s="12"/>
      <c r="L1332" s="12"/>
      <c r="M1332" s="11"/>
      <c r="N1332" s="11"/>
      <c r="O1332" s="11"/>
      <c r="P1332" s="11"/>
    </row>
    <row r="1333" spans="7:16" x14ac:dyDescent="0.25">
      <c r="G1333" s="698"/>
      <c r="H1333" s="12"/>
      <c r="I1333" s="12"/>
      <c r="J1333" s="12"/>
      <c r="K1333" s="12"/>
      <c r="L1333" s="12"/>
      <c r="M1333" s="11"/>
      <c r="N1333" s="11"/>
      <c r="O1333" s="11"/>
      <c r="P1333" s="11"/>
    </row>
    <row r="1334" spans="7:16" x14ac:dyDescent="0.25">
      <c r="G1334" s="698"/>
      <c r="H1334" s="12"/>
      <c r="I1334" s="12"/>
      <c r="J1334" s="12"/>
      <c r="K1334" s="12"/>
      <c r="L1334" s="12"/>
      <c r="M1334" s="11"/>
      <c r="N1334" s="11"/>
      <c r="O1334" s="11"/>
      <c r="P1334" s="11"/>
    </row>
    <row r="1335" spans="7:16" x14ac:dyDescent="0.25">
      <c r="G1335" s="698"/>
      <c r="H1335" s="12"/>
      <c r="I1335" s="12"/>
      <c r="J1335" s="12"/>
      <c r="K1335" s="12"/>
      <c r="L1335" s="12"/>
      <c r="M1335" s="11"/>
      <c r="N1335" s="11"/>
      <c r="O1335" s="11"/>
      <c r="P1335" s="11"/>
    </row>
    <row r="1336" spans="7:16" x14ac:dyDescent="0.25">
      <c r="G1336" s="698"/>
      <c r="H1336" s="12"/>
      <c r="I1336" s="12"/>
      <c r="J1336" s="12"/>
      <c r="K1336" s="12"/>
      <c r="L1336" s="12"/>
      <c r="M1336" s="11"/>
      <c r="N1336" s="11"/>
      <c r="O1336" s="11"/>
      <c r="P1336" s="11"/>
    </row>
    <row r="1337" spans="7:16" x14ac:dyDescent="0.25">
      <c r="G1337" s="698"/>
      <c r="H1337" s="12"/>
      <c r="I1337" s="12"/>
      <c r="J1337" s="12"/>
      <c r="K1337" s="12"/>
      <c r="L1337" s="12"/>
      <c r="M1337" s="11"/>
      <c r="N1337" s="11"/>
      <c r="O1337" s="11"/>
      <c r="P1337" s="11"/>
    </row>
    <row r="1338" spans="7:16" x14ac:dyDescent="0.25">
      <c r="G1338" s="698"/>
      <c r="H1338" s="12"/>
      <c r="I1338" s="12"/>
      <c r="J1338" s="12"/>
      <c r="K1338" s="12"/>
      <c r="L1338" s="12"/>
      <c r="M1338" s="11"/>
      <c r="N1338" s="11"/>
      <c r="O1338" s="11"/>
      <c r="P1338" s="11"/>
    </row>
    <row r="1339" spans="7:16" x14ac:dyDescent="0.25">
      <c r="G1339" s="698"/>
      <c r="H1339" s="12"/>
      <c r="I1339" s="12"/>
      <c r="J1339" s="12"/>
      <c r="K1339" s="12"/>
      <c r="L1339" s="12"/>
      <c r="M1339" s="11"/>
      <c r="N1339" s="11"/>
      <c r="O1339" s="11"/>
      <c r="P1339" s="11"/>
    </row>
    <row r="1340" spans="7:16" x14ac:dyDescent="0.25">
      <c r="G1340" s="698"/>
      <c r="H1340" s="12"/>
      <c r="I1340" s="12"/>
      <c r="J1340" s="12"/>
      <c r="K1340" s="12"/>
      <c r="L1340" s="12"/>
      <c r="M1340" s="11"/>
      <c r="N1340" s="11"/>
      <c r="O1340" s="11"/>
      <c r="P1340" s="11"/>
    </row>
    <row r="1341" spans="7:16" x14ac:dyDescent="0.25">
      <c r="G1341" s="698"/>
      <c r="H1341" s="12"/>
      <c r="I1341" s="12"/>
      <c r="J1341" s="12"/>
      <c r="K1341" s="12"/>
      <c r="L1341" s="12"/>
      <c r="M1341" s="11"/>
      <c r="N1341" s="11"/>
      <c r="O1341" s="11"/>
      <c r="P1341" s="11"/>
    </row>
    <row r="1342" spans="7:16" x14ac:dyDescent="0.25">
      <c r="G1342" s="698"/>
      <c r="H1342" s="12"/>
      <c r="I1342" s="12"/>
      <c r="J1342" s="12"/>
      <c r="K1342" s="12"/>
      <c r="L1342" s="12"/>
      <c r="M1342" s="11"/>
      <c r="N1342" s="11"/>
      <c r="O1342" s="11"/>
      <c r="P1342" s="11"/>
    </row>
    <row r="1343" spans="7:16" x14ac:dyDescent="0.25">
      <c r="G1343" s="698"/>
      <c r="H1343" s="12"/>
      <c r="I1343" s="12"/>
      <c r="J1343" s="12"/>
      <c r="K1343" s="12"/>
      <c r="L1343" s="12"/>
      <c r="M1343" s="11"/>
      <c r="N1343" s="11"/>
      <c r="O1343" s="11"/>
      <c r="P1343" s="11"/>
    </row>
    <row r="1344" spans="7:16" x14ac:dyDescent="0.25">
      <c r="G1344" s="698"/>
      <c r="H1344" s="12"/>
      <c r="I1344" s="12"/>
      <c r="J1344" s="12"/>
      <c r="K1344" s="12"/>
      <c r="L1344" s="12"/>
      <c r="M1344" s="11"/>
      <c r="N1344" s="11"/>
      <c r="O1344" s="11"/>
      <c r="P1344" s="11"/>
    </row>
    <row r="1345" spans="7:16" x14ac:dyDescent="0.25">
      <c r="G1345" s="698"/>
      <c r="H1345" s="12"/>
      <c r="I1345" s="12"/>
      <c r="J1345" s="12"/>
      <c r="K1345" s="12"/>
      <c r="L1345" s="12"/>
      <c r="M1345" s="11"/>
      <c r="N1345" s="11"/>
      <c r="O1345" s="11"/>
      <c r="P1345" s="11"/>
    </row>
    <row r="1346" spans="7:16" x14ac:dyDescent="0.25">
      <c r="G1346" s="698"/>
      <c r="H1346" s="12"/>
      <c r="I1346" s="12"/>
      <c r="J1346" s="12"/>
      <c r="K1346" s="12"/>
      <c r="L1346" s="12"/>
      <c r="M1346" s="11"/>
      <c r="N1346" s="11"/>
      <c r="O1346" s="11"/>
      <c r="P1346" s="11"/>
    </row>
    <row r="1347" spans="7:16" x14ac:dyDescent="0.25">
      <c r="G1347" s="698"/>
      <c r="H1347" s="12"/>
      <c r="I1347" s="12"/>
      <c r="J1347" s="12"/>
      <c r="K1347" s="12"/>
      <c r="L1347" s="12"/>
      <c r="M1347" s="11"/>
      <c r="N1347" s="11"/>
      <c r="O1347" s="11"/>
      <c r="P1347" s="11"/>
    </row>
    <row r="1348" spans="7:16" x14ac:dyDescent="0.25">
      <c r="G1348" s="698"/>
      <c r="H1348" s="12"/>
      <c r="I1348" s="12"/>
      <c r="J1348" s="12"/>
      <c r="K1348" s="12"/>
      <c r="L1348" s="12"/>
      <c r="M1348" s="11"/>
      <c r="N1348" s="11"/>
      <c r="O1348" s="11"/>
      <c r="P1348" s="11"/>
    </row>
    <row r="1349" spans="7:16" x14ac:dyDescent="0.25">
      <c r="G1349" s="698"/>
      <c r="H1349" s="12"/>
      <c r="I1349" s="12"/>
      <c r="J1349" s="12"/>
      <c r="K1349" s="12"/>
      <c r="L1349" s="12"/>
      <c r="M1349" s="11"/>
      <c r="N1349" s="11"/>
      <c r="O1349" s="11"/>
      <c r="P1349" s="11"/>
    </row>
    <row r="1350" spans="7:16" x14ac:dyDescent="0.25">
      <c r="G1350" s="698"/>
      <c r="H1350" s="12"/>
      <c r="I1350" s="12"/>
      <c r="J1350" s="12"/>
      <c r="K1350" s="12"/>
      <c r="L1350" s="12"/>
      <c r="M1350" s="11"/>
      <c r="N1350" s="11"/>
      <c r="O1350" s="11"/>
      <c r="P1350" s="11"/>
    </row>
    <row r="1351" spans="7:16" x14ac:dyDescent="0.25">
      <c r="G1351" s="698"/>
      <c r="H1351" s="12"/>
      <c r="I1351" s="12"/>
      <c r="J1351" s="12"/>
      <c r="K1351" s="12"/>
      <c r="L1351" s="12"/>
      <c r="M1351" s="11"/>
      <c r="N1351" s="11"/>
      <c r="O1351" s="11"/>
      <c r="P1351" s="11"/>
    </row>
    <row r="1352" spans="7:16" x14ac:dyDescent="0.25">
      <c r="G1352" s="698"/>
      <c r="H1352" s="12"/>
      <c r="I1352" s="12"/>
      <c r="J1352" s="12"/>
      <c r="K1352" s="12"/>
      <c r="L1352" s="12"/>
      <c r="M1352" s="11"/>
      <c r="N1352" s="11"/>
      <c r="O1352" s="11"/>
      <c r="P1352" s="11"/>
    </row>
    <row r="1353" spans="7:16" x14ac:dyDescent="0.25">
      <c r="G1353" s="698"/>
      <c r="H1353" s="12"/>
      <c r="I1353" s="12"/>
      <c r="J1353" s="12"/>
      <c r="K1353" s="12"/>
      <c r="L1353" s="12"/>
      <c r="M1353" s="11"/>
      <c r="N1353" s="11"/>
      <c r="O1353" s="11"/>
      <c r="P1353" s="11"/>
    </row>
    <row r="1354" spans="7:16" x14ac:dyDescent="0.25">
      <c r="G1354" s="698"/>
      <c r="H1354" s="12"/>
      <c r="I1354" s="12"/>
      <c r="J1354" s="12"/>
      <c r="K1354" s="12"/>
      <c r="L1354" s="12"/>
      <c r="M1354" s="11"/>
      <c r="N1354" s="11"/>
      <c r="O1354" s="11"/>
      <c r="P1354" s="11"/>
    </row>
    <row r="1355" spans="7:16" x14ac:dyDescent="0.25">
      <c r="G1355" s="698"/>
      <c r="H1355" s="12"/>
      <c r="I1355" s="12"/>
      <c r="J1355" s="12"/>
      <c r="K1355" s="12"/>
      <c r="L1355" s="12"/>
      <c r="M1355" s="11"/>
      <c r="N1355" s="11"/>
      <c r="O1355" s="11"/>
      <c r="P1355" s="11"/>
    </row>
    <row r="1356" spans="7:16" x14ac:dyDescent="0.25">
      <c r="G1356" s="698"/>
      <c r="H1356" s="12"/>
      <c r="I1356" s="12"/>
      <c r="J1356" s="12"/>
      <c r="K1356" s="12"/>
      <c r="L1356" s="12"/>
      <c r="M1356" s="11"/>
      <c r="N1356" s="11"/>
      <c r="O1356" s="11"/>
      <c r="P1356" s="11"/>
    </row>
    <row r="1357" spans="7:16" x14ac:dyDescent="0.25">
      <c r="G1357" s="698"/>
      <c r="H1357" s="12"/>
      <c r="I1357" s="12"/>
      <c r="J1357" s="12"/>
      <c r="K1357" s="12"/>
      <c r="L1357" s="12"/>
      <c r="M1357" s="11"/>
      <c r="N1357" s="11"/>
      <c r="O1357" s="11"/>
      <c r="P1357" s="11"/>
    </row>
    <row r="1358" spans="7:16" x14ac:dyDescent="0.25">
      <c r="G1358" s="698"/>
      <c r="H1358" s="12"/>
      <c r="I1358" s="12"/>
      <c r="J1358" s="12"/>
      <c r="K1358" s="12"/>
      <c r="L1358" s="12"/>
      <c r="M1358" s="11"/>
      <c r="N1358" s="11"/>
      <c r="O1358" s="11"/>
      <c r="P1358" s="11"/>
    </row>
    <row r="1359" spans="7:16" x14ac:dyDescent="0.25">
      <c r="G1359" s="698"/>
      <c r="H1359" s="12"/>
      <c r="I1359" s="12"/>
      <c r="J1359" s="12"/>
      <c r="K1359" s="12"/>
      <c r="L1359" s="12"/>
      <c r="M1359" s="11"/>
      <c r="N1359" s="11"/>
      <c r="O1359" s="11"/>
      <c r="P1359" s="11"/>
    </row>
    <row r="1360" spans="7:16" x14ac:dyDescent="0.25">
      <c r="G1360" s="698"/>
      <c r="H1360" s="12"/>
      <c r="I1360" s="12"/>
      <c r="J1360" s="12"/>
      <c r="K1360" s="12"/>
      <c r="L1360" s="12"/>
      <c r="M1360" s="11"/>
      <c r="N1360" s="11"/>
      <c r="O1360" s="11"/>
      <c r="P1360" s="11"/>
    </row>
    <row r="1361" spans="7:16" x14ac:dyDescent="0.25">
      <c r="G1361" s="698"/>
      <c r="H1361" s="12"/>
      <c r="I1361" s="12"/>
      <c r="J1361" s="12"/>
      <c r="K1361" s="12"/>
      <c r="L1361" s="12"/>
      <c r="M1361" s="11"/>
      <c r="N1361" s="11"/>
      <c r="O1361" s="11"/>
      <c r="P1361" s="11"/>
    </row>
    <row r="1362" spans="7:16" x14ac:dyDescent="0.25">
      <c r="G1362" s="698"/>
      <c r="H1362" s="12"/>
      <c r="I1362" s="12"/>
      <c r="J1362" s="12"/>
      <c r="K1362" s="12"/>
      <c r="L1362" s="12"/>
      <c r="M1362" s="11"/>
      <c r="N1362" s="11"/>
      <c r="O1362" s="11"/>
      <c r="P1362" s="11"/>
    </row>
    <row r="1363" spans="7:16" x14ac:dyDescent="0.25">
      <c r="G1363" s="698"/>
      <c r="H1363" s="12"/>
      <c r="I1363" s="12"/>
      <c r="J1363" s="12"/>
      <c r="K1363" s="12"/>
      <c r="L1363" s="12"/>
      <c r="M1363" s="11"/>
      <c r="N1363" s="11"/>
      <c r="O1363" s="11"/>
      <c r="P1363" s="11"/>
    </row>
    <row r="1364" spans="7:16" x14ac:dyDescent="0.25">
      <c r="G1364" s="698"/>
      <c r="H1364" s="12"/>
      <c r="I1364" s="12"/>
      <c r="J1364" s="12"/>
      <c r="K1364" s="12"/>
      <c r="L1364" s="12"/>
      <c r="M1364" s="11"/>
      <c r="N1364" s="11"/>
      <c r="O1364" s="11"/>
      <c r="P1364" s="11"/>
    </row>
    <row r="1365" spans="7:16" x14ac:dyDescent="0.25">
      <c r="G1365" s="698"/>
      <c r="H1365" s="12"/>
      <c r="I1365" s="12"/>
      <c r="J1365" s="12"/>
      <c r="K1365" s="12"/>
      <c r="L1365" s="12"/>
      <c r="M1365" s="11"/>
      <c r="N1365" s="11"/>
      <c r="O1365" s="11"/>
      <c r="P1365" s="11"/>
    </row>
    <row r="1366" spans="7:16" x14ac:dyDescent="0.25">
      <c r="G1366" s="698"/>
      <c r="H1366" s="12"/>
      <c r="I1366" s="12"/>
      <c r="J1366" s="12"/>
      <c r="K1366" s="12"/>
      <c r="L1366" s="12"/>
      <c r="M1366" s="11"/>
      <c r="N1366" s="11"/>
      <c r="O1366" s="11"/>
      <c r="P1366" s="11"/>
    </row>
    <row r="1367" spans="7:16" x14ac:dyDescent="0.25">
      <c r="G1367" s="698"/>
      <c r="H1367" s="12"/>
      <c r="I1367" s="12"/>
      <c r="J1367" s="12"/>
      <c r="K1367" s="12"/>
      <c r="L1367" s="12"/>
      <c r="M1367" s="11"/>
      <c r="N1367" s="11"/>
      <c r="O1367" s="11"/>
      <c r="P1367" s="11"/>
    </row>
    <row r="1368" spans="7:16" x14ac:dyDescent="0.25">
      <c r="G1368" s="698"/>
      <c r="H1368" s="12"/>
      <c r="I1368" s="12"/>
      <c r="J1368" s="12"/>
      <c r="K1368" s="12"/>
      <c r="L1368" s="12"/>
      <c r="M1368" s="11"/>
      <c r="N1368" s="11"/>
      <c r="O1368" s="11"/>
      <c r="P1368" s="11"/>
    </row>
    <row r="1369" spans="7:16" x14ac:dyDescent="0.25">
      <c r="G1369" s="698"/>
      <c r="H1369" s="12"/>
      <c r="I1369" s="12"/>
      <c r="J1369" s="12"/>
      <c r="K1369" s="12"/>
      <c r="L1369" s="12"/>
      <c r="M1369" s="11"/>
      <c r="N1369" s="11"/>
      <c r="O1369" s="11"/>
      <c r="P1369" s="11"/>
    </row>
    <row r="1370" spans="7:16" x14ac:dyDescent="0.25">
      <c r="G1370" s="698"/>
      <c r="H1370" s="12"/>
      <c r="I1370" s="12"/>
      <c r="J1370" s="12"/>
      <c r="K1370" s="12"/>
      <c r="L1370" s="12"/>
      <c r="M1370" s="11"/>
      <c r="N1370" s="11"/>
      <c r="O1370" s="11"/>
      <c r="P1370" s="11"/>
    </row>
    <row r="1371" spans="7:16" x14ac:dyDescent="0.25">
      <c r="G1371" s="698"/>
      <c r="H1371" s="12"/>
      <c r="I1371" s="12"/>
      <c r="J1371" s="12"/>
      <c r="K1371" s="12"/>
      <c r="L1371" s="12"/>
      <c r="M1371" s="11"/>
      <c r="N1371" s="11"/>
      <c r="O1371" s="11"/>
      <c r="P1371" s="11"/>
    </row>
    <row r="1372" spans="7:16" x14ac:dyDescent="0.25">
      <c r="G1372" s="698"/>
      <c r="H1372" s="12"/>
      <c r="I1372" s="12"/>
      <c r="J1372" s="12"/>
      <c r="K1372" s="12"/>
      <c r="L1372" s="12"/>
      <c r="M1372" s="11"/>
      <c r="N1372" s="11"/>
      <c r="O1372" s="11"/>
      <c r="P1372" s="11"/>
    </row>
    <row r="1373" spans="7:16" x14ac:dyDescent="0.25">
      <c r="G1373" s="698"/>
      <c r="H1373" s="12"/>
      <c r="I1373" s="12"/>
      <c r="J1373" s="12"/>
      <c r="K1373" s="12"/>
      <c r="L1373" s="12"/>
      <c r="M1373" s="11"/>
      <c r="N1373" s="11"/>
      <c r="O1373" s="11"/>
      <c r="P1373" s="11"/>
    </row>
    <row r="1374" spans="7:16" x14ac:dyDescent="0.25">
      <c r="G1374" s="698"/>
      <c r="H1374" s="12"/>
      <c r="I1374" s="12"/>
      <c r="J1374" s="12"/>
      <c r="K1374" s="12"/>
      <c r="L1374" s="12"/>
      <c r="M1374" s="11"/>
      <c r="N1374" s="11"/>
      <c r="O1374" s="11"/>
      <c r="P1374" s="11"/>
    </row>
    <row r="1375" spans="7:16" x14ac:dyDescent="0.25">
      <c r="G1375" s="698"/>
      <c r="H1375" s="12"/>
      <c r="I1375" s="12"/>
      <c r="J1375" s="12"/>
      <c r="K1375" s="12"/>
      <c r="L1375" s="12"/>
      <c r="M1375" s="11"/>
      <c r="N1375" s="11"/>
      <c r="O1375" s="11"/>
      <c r="P1375" s="11"/>
    </row>
    <row r="1376" spans="7:16" x14ac:dyDescent="0.25">
      <c r="G1376" s="698"/>
      <c r="H1376" s="12"/>
      <c r="I1376" s="12"/>
      <c r="J1376" s="12"/>
      <c r="K1376" s="12"/>
      <c r="L1376" s="12"/>
      <c r="M1376" s="11"/>
      <c r="N1376" s="11"/>
      <c r="O1376" s="11"/>
      <c r="P1376" s="11"/>
    </row>
    <row r="1377" spans="7:16" x14ac:dyDescent="0.25">
      <c r="G1377" s="698"/>
      <c r="H1377" s="12"/>
      <c r="I1377" s="12"/>
      <c r="J1377" s="12"/>
      <c r="K1377" s="12"/>
      <c r="L1377" s="12"/>
      <c r="M1377" s="11"/>
      <c r="N1377" s="11"/>
      <c r="O1377" s="11"/>
      <c r="P1377" s="11"/>
    </row>
    <row r="1378" spans="7:16" x14ac:dyDescent="0.25">
      <c r="G1378" s="698"/>
      <c r="H1378" s="12"/>
      <c r="I1378" s="12"/>
      <c r="J1378" s="12"/>
      <c r="K1378" s="12"/>
      <c r="L1378" s="12"/>
      <c r="M1378" s="11"/>
      <c r="N1378" s="11"/>
      <c r="O1378" s="11"/>
      <c r="P1378" s="11"/>
    </row>
    <row r="1379" spans="7:16" x14ac:dyDescent="0.25">
      <c r="G1379" s="698"/>
      <c r="H1379" s="12"/>
      <c r="I1379" s="12"/>
      <c r="J1379" s="12"/>
      <c r="K1379" s="12"/>
      <c r="L1379" s="12"/>
      <c r="M1379" s="11"/>
      <c r="N1379" s="11"/>
      <c r="O1379" s="11"/>
      <c r="P1379" s="11"/>
    </row>
    <row r="1380" spans="7:16" x14ac:dyDescent="0.25">
      <c r="G1380" s="698"/>
      <c r="H1380" s="12"/>
      <c r="I1380" s="12"/>
      <c r="J1380" s="12"/>
      <c r="K1380" s="12"/>
      <c r="L1380" s="12"/>
      <c r="M1380" s="11"/>
      <c r="N1380" s="11"/>
      <c r="O1380" s="11"/>
      <c r="P1380" s="11"/>
    </row>
    <row r="1381" spans="7:16" x14ac:dyDescent="0.25">
      <c r="G1381" s="698"/>
      <c r="H1381" s="12"/>
      <c r="I1381" s="12"/>
      <c r="J1381" s="12"/>
      <c r="K1381" s="12"/>
      <c r="L1381" s="12"/>
      <c r="M1381" s="11"/>
      <c r="N1381" s="11"/>
      <c r="O1381" s="11"/>
      <c r="P1381" s="11"/>
    </row>
    <row r="1382" spans="7:16" x14ac:dyDescent="0.25">
      <c r="G1382" s="698"/>
      <c r="H1382" s="12"/>
      <c r="I1382" s="12"/>
      <c r="J1382" s="12"/>
      <c r="K1382" s="12"/>
      <c r="L1382" s="12"/>
      <c r="M1382" s="11"/>
      <c r="N1382" s="11"/>
      <c r="O1382" s="11"/>
      <c r="P1382" s="11"/>
    </row>
    <row r="1383" spans="7:16" x14ac:dyDescent="0.25">
      <c r="G1383" s="698"/>
      <c r="H1383" s="12"/>
      <c r="I1383" s="12"/>
      <c r="J1383" s="12"/>
      <c r="K1383" s="12"/>
      <c r="L1383" s="12"/>
      <c r="M1383" s="11"/>
      <c r="N1383" s="11"/>
      <c r="O1383" s="11"/>
      <c r="P1383" s="11"/>
    </row>
    <row r="1384" spans="7:16" x14ac:dyDescent="0.25">
      <c r="G1384" s="698"/>
      <c r="H1384" s="12"/>
      <c r="I1384" s="12"/>
      <c r="J1384" s="12"/>
      <c r="K1384" s="12"/>
      <c r="L1384" s="12"/>
      <c r="M1384" s="11"/>
      <c r="N1384" s="11"/>
      <c r="O1384" s="11"/>
      <c r="P1384" s="11"/>
    </row>
    <row r="1385" spans="7:16" x14ac:dyDescent="0.25">
      <c r="G1385" s="698"/>
      <c r="H1385" s="12"/>
      <c r="I1385" s="12"/>
      <c r="J1385" s="12"/>
      <c r="K1385" s="12"/>
      <c r="L1385" s="12"/>
      <c r="M1385" s="11"/>
      <c r="N1385" s="11"/>
      <c r="O1385" s="11"/>
      <c r="P1385" s="11"/>
    </row>
    <row r="1386" spans="7:16" x14ac:dyDescent="0.25">
      <c r="G1386" s="698"/>
      <c r="H1386" s="12"/>
      <c r="I1386" s="12"/>
      <c r="J1386" s="12"/>
      <c r="K1386" s="12"/>
      <c r="L1386" s="12"/>
      <c r="M1386" s="11"/>
      <c r="N1386" s="11"/>
      <c r="O1386" s="11"/>
      <c r="P1386" s="11"/>
    </row>
    <row r="1387" spans="7:16" x14ac:dyDescent="0.25">
      <c r="G1387" s="698"/>
      <c r="H1387" s="12"/>
      <c r="I1387" s="12"/>
      <c r="J1387" s="12"/>
      <c r="K1387" s="12"/>
      <c r="L1387" s="12"/>
      <c r="M1387" s="11"/>
      <c r="N1387" s="11"/>
      <c r="O1387" s="11"/>
      <c r="P1387" s="11"/>
    </row>
    <row r="1388" spans="7:16" x14ac:dyDescent="0.25">
      <c r="G1388" s="698"/>
      <c r="H1388" s="12"/>
      <c r="I1388" s="12"/>
      <c r="J1388" s="12"/>
      <c r="K1388" s="12"/>
      <c r="L1388" s="12"/>
      <c r="M1388" s="11"/>
      <c r="N1388" s="11"/>
      <c r="O1388" s="11"/>
      <c r="P1388" s="11"/>
    </row>
    <row r="1389" spans="7:16" x14ac:dyDescent="0.25">
      <c r="G1389" s="698"/>
      <c r="H1389" s="12"/>
      <c r="I1389" s="12"/>
      <c r="J1389" s="12"/>
      <c r="K1389" s="12"/>
      <c r="L1389" s="12"/>
      <c r="M1389" s="11"/>
      <c r="N1389" s="11"/>
      <c r="O1389" s="11"/>
      <c r="P1389" s="11"/>
    </row>
    <row r="1390" spans="7:16" x14ac:dyDescent="0.25">
      <c r="G1390" s="698"/>
      <c r="H1390" s="12"/>
      <c r="I1390" s="12"/>
      <c r="J1390" s="12"/>
      <c r="K1390" s="12"/>
      <c r="L1390" s="12"/>
      <c r="M1390" s="11"/>
      <c r="N1390" s="11"/>
      <c r="O1390" s="11"/>
      <c r="P1390" s="11"/>
    </row>
    <row r="1391" spans="7:16" x14ac:dyDescent="0.25">
      <c r="G1391" s="698"/>
      <c r="H1391" s="12"/>
      <c r="I1391" s="12"/>
      <c r="J1391" s="12"/>
      <c r="K1391" s="12"/>
      <c r="L1391" s="12"/>
      <c r="M1391" s="11"/>
      <c r="N1391" s="11"/>
      <c r="O1391" s="11"/>
      <c r="P1391" s="11"/>
    </row>
    <row r="1392" spans="7:16" x14ac:dyDescent="0.25">
      <c r="G1392" s="698"/>
      <c r="H1392" s="12"/>
      <c r="I1392" s="12"/>
      <c r="J1392" s="12"/>
      <c r="K1392" s="12"/>
      <c r="L1392" s="12"/>
      <c r="M1392" s="11"/>
      <c r="N1392" s="11"/>
      <c r="O1392" s="11"/>
      <c r="P1392" s="11"/>
    </row>
    <row r="1393" spans="7:16" x14ac:dyDescent="0.25">
      <c r="G1393" s="698"/>
      <c r="H1393" s="12"/>
      <c r="I1393" s="12"/>
      <c r="J1393" s="12"/>
      <c r="K1393" s="12"/>
      <c r="L1393" s="12"/>
      <c r="M1393" s="11"/>
      <c r="N1393" s="11"/>
      <c r="O1393" s="11"/>
      <c r="P1393" s="11"/>
    </row>
    <row r="1394" spans="7:16" x14ac:dyDescent="0.25">
      <c r="G1394" s="698"/>
      <c r="H1394" s="12"/>
      <c r="I1394" s="12"/>
      <c r="J1394" s="12"/>
      <c r="K1394" s="12"/>
      <c r="L1394" s="12"/>
      <c r="M1394" s="11"/>
      <c r="N1394" s="11"/>
      <c r="O1394" s="11"/>
      <c r="P1394" s="11"/>
    </row>
    <row r="1395" spans="7:16" x14ac:dyDescent="0.25">
      <c r="G1395" s="698"/>
      <c r="H1395" s="12"/>
      <c r="I1395" s="12"/>
      <c r="J1395" s="12"/>
      <c r="K1395" s="12"/>
      <c r="L1395" s="12"/>
      <c r="M1395" s="11"/>
      <c r="N1395" s="11"/>
      <c r="O1395" s="11"/>
      <c r="P1395" s="11"/>
    </row>
    <row r="1396" spans="7:16" x14ac:dyDescent="0.25">
      <c r="G1396" s="698"/>
      <c r="H1396" s="12"/>
      <c r="I1396" s="12"/>
      <c r="J1396" s="12"/>
      <c r="K1396" s="12"/>
      <c r="L1396" s="12"/>
      <c r="M1396" s="11"/>
      <c r="N1396" s="11"/>
      <c r="O1396" s="11"/>
      <c r="P1396" s="11"/>
    </row>
    <row r="1397" spans="7:16" x14ac:dyDescent="0.25">
      <c r="G1397" s="698"/>
      <c r="H1397" s="12"/>
      <c r="I1397" s="12"/>
      <c r="J1397" s="12"/>
      <c r="K1397" s="12"/>
      <c r="L1397" s="12"/>
      <c r="M1397" s="11"/>
      <c r="N1397" s="11"/>
      <c r="O1397" s="11"/>
      <c r="P1397" s="11"/>
    </row>
    <row r="1398" spans="7:16" x14ac:dyDescent="0.25">
      <c r="G1398" s="698"/>
      <c r="H1398" s="12"/>
      <c r="I1398" s="12"/>
      <c r="J1398" s="12"/>
      <c r="K1398" s="12"/>
      <c r="L1398" s="12"/>
      <c r="M1398" s="11"/>
      <c r="N1398" s="11"/>
      <c r="O1398" s="11"/>
      <c r="P1398" s="11"/>
    </row>
    <row r="1399" spans="7:16" x14ac:dyDescent="0.25">
      <c r="G1399" s="698"/>
      <c r="H1399" s="12"/>
      <c r="I1399" s="12"/>
      <c r="J1399" s="12"/>
      <c r="K1399" s="12"/>
      <c r="L1399" s="12"/>
      <c r="M1399" s="11"/>
      <c r="N1399" s="11"/>
      <c r="O1399" s="11"/>
      <c r="P1399" s="11"/>
    </row>
    <row r="1400" spans="7:16" x14ac:dyDescent="0.25">
      <c r="G1400" s="698"/>
      <c r="H1400" s="12"/>
      <c r="I1400" s="12"/>
      <c r="J1400" s="12"/>
      <c r="K1400" s="12"/>
      <c r="L1400" s="12"/>
      <c r="M1400" s="11"/>
      <c r="N1400" s="11"/>
      <c r="O1400" s="11"/>
      <c r="P1400" s="11"/>
    </row>
    <row r="1401" spans="7:16" x14ac:dyDescent="0.25">
      <c r="G1401" s="698"/>
      <c r="H1401" s="12"/>
      <c r="I1401" s="12"/>
      <c r="J1401" s="12"/>
      <c r="K1401" s="12"/>
      <c r="L1401" s="12"/>
      <c r="M1401" s="11"/>
      <c r="N1401" s="11"/>
      <c r="O1401" s="11"/>
      <c r="P1401" s="11"/>
    </row>
    <row r="1402" spans="7:16" x14ac:dyDescent="0.25">
      <c r="G1402" s="698"/>
      <c r="H1402" s="12"/>
      <c r="I1402" s="12"/>
      <c r="J1402" s="12"/>
      <c r="K1402" s="12"/>
      <c r="L1402" s="12"/>
      <c r="M1402" s="11"/>
      <c r="N1402" s="11"/>
      <c r="O1402" s="11"/>
      <c r="P1402" s="11"/>
    </row>
    <row r="1403" spans="7:16" x14ac:dyDescent="0.25">
      <c r="G1403" s="698"/>
      <c r="H1403" s="12"/>
      <c r="I1403" s="12"/>
      <c r="J1403" s="12"/>
      <c r="K1403" s="12"/>
      <c r="L1403" s="12"/>
      <c r="M1403" s="11"/>
      <c r="N1403" s="11"/>
      <c r="O1403" s="11"/>
      <c r="P1403" s="11"/>
    </row>
    <row r="1404" spans="7:16" x14ac:dyDescent="0.25">
      <c r="G1404" s="698"/>
      <c r="H1404" s="12"/>
      <c r="I1404" s="12"/>
      <c r="J1404" s="12"/>
      <c r="K1404" s="12"/>
      <c r="L1404" s="12"/>
      <c r="M1404" s="11"/>
      <c r="N1404" s="11"/>
      <c r="O1404" s="11"/>
      <c r="P1404" s="11"/>
    </row>
    <row r="1405" spans="7:16" x14ac:dyDescent="0.25">
      <c r="G1405" s="698"/>
      <c r="H1405" s="12"/>
      <c r="I1405" s="12"/>
      <c r="J1405" s="12"/>
      <c r="K1405" s="12"/>
      <c r="L1405" s="12"/>
      <c r="M1405" s="11"/>
      <c r="N1405" s="11"/>
      <c r="O1405" s="11"/>
      <c r="P1405" s="11"/>
    </row>
    <row r="1406" spans="7:16" x14ac:dyDescent="0.25">
      <c r="G1406" s="698"/>
      <c r="H1406" s="12"/>
      <c r="I1406" s="12"/>
      <c r="J1406" s="12"/>
      <c r="K1406" s="12"/>
      <c r="L1406" s="12"/>
      <c r="M1406" s="11"/>
      <c r="N1406" s="11"/>
      <c r="O1406" s="11"/>
      <c r="P1406" s="11"/>
    </row>
    <row r="1407" spans="7:16" x14ac:dyDescent="0.25">
      <c r="G1407" s="698"/>
      <c r="H1407" s="12"/>
      <c r="I1407" s="12"/>
      <c r="J1407" s="12"/>
      <c r="K1407" s="12"/>
      <c r="L1407" s="12"/>
      <c r="M1407" s="11"/>
      <c r="N1407" s="11"/>
      <c r="O1407" s="11"/>
      <c r="P1407" s="11"/>
    </row>
    <row r="1408" spans="7:16" x14ac:dyDescent="0.25">
      <c r="G1408" s="698"/>
      <c r="H1408" s="12"/>
      <c r="I1408" s="12"/>
      <c r="J1408" s="12"/>
      <c r="K1408" s="12"/>
      <c r="L1408" s="12"/>
      <c r="M1408" s="11"/>
      <c r="N1408" s="11"/>
      <c r="O1408" s="11"/>
      <c r="P1408" s="11"/>
    </row>
    <row r="1409" spans="7:16" x14ac:dyDescent="0.25">
      <c r="G1409" s="698"/>
      <c r="H1409" s="12"/>
      <c r="I1409" s="12"/>
      <c r="J1409" s="12"/>
      <c r="K1409" s="12"/>
      <c r="L1409" s="12"/>
      <c r="M1409" s="11"/>
      <c r="N1409" s="11"/>
      <c r="O1409" s="11"/>
      <c r="P1409" s="11"/>
    </row>
    <row r="1410" spans="7:16" x14ac:dyDescent="0.25">
      <c r="G1410" s="698"/>
      <c r="H1410" s="12"/>
      <c r="I1410" s="12"/>
      <c r="J1410" s="12"/>
      <c r="K1410" s="12"/>
      <c r="L1410" s="12"/>
      <c r="M1410" s="11"/>
      <c r="N1410" s="11"/>
      <c r="O1410" s="11"/>
      <c r="P1410" s="11"/>
    </row>
    <row r="1411" spans="7:16" x14ac:dyDescent="0.25">
      <c r="G1411" s="698"/>
      <c r="H1411" s="12"/>
      <c r="I1411" s="12"/>
      <c r="J1411" s="12"/>
      <c r="K1411" s="12"/>
      <c r="L1411" s="12"/>
      <c r="M1411" s="11"/>
      <c r="N1411" s="11"/>
      <c r="O1411" s="11"/>
      <c r="P1411" s="11"/>
    </row>
    <row r="1412" spans="7:16" x14ac:dyDescent="0.25">
      <c r="G1412" s="698"/>
      <c r="H1412" s="12"/>
      <c r="I1412" s="12"/>
      <c r="J1412" s="12"/>
      <c r="K1412" s="12"/>
      <c r="L1412" s="12"/>
      <c r="M1412" s="11"/>
      <c r="N1412" s="11"/>
      <c r="O1412" s="11"/>
      <c r="P1412" s="11"/>
    </row>
    <row r="1413" spans="7:16" x14ac:dyDescent="0.25">
      <c r="G1413" s="698"/>
      <c r="H1413" s="12"/>
      <c r="I1413" s="12"/>
      <c r="J1413" s="12"/>
      <c r="K1413" s="12"/>
      <c r="L1413" s="12"/>
      <c r="M1413" s="11"/>
      <c r="N1413" s="11"/>
      <c r="O1413" s="11"/>
      <c r="P1413" s="11"/>
    </row>
    <row r="1414" spans="7:16" x14ac:dyDescent="0.25">
      <c r="G1414" s="698"/>
      <c r="H1414" s="12"/>
      <c r="I1414" s="12"/>
      <c r="J1414" s="12"/>
      <c r="K1414" s="12"/>
      <c r="L1414" s="12"/>
      <c r="M1414" s="11"/>
      <c r="N1414" s="11"/>
      <c r="O1414" s="11"/>
      <c r="P1414" s="11"/>
    </row>
    <row r="1415" spans="7:16" x14ac:dyDescent="0.25">
      <c r="G1415" s="698"/>
      <c r="H1415" s="12"/>
      <c r="I1415" s="12"/>
      <c r="J1415" s="12"/>
      <c r="K1415" s="12"/>
      <c r="L1415" s="12"/>
      <c r="M1415" s="11"/>
      <c r="N1415" s="11"/>
      <c r="O1415" s="11"/>
      <c r="P1415" s="11"/>
    </row>
    <row r="1416" spans="7:16" x14ac:dyDescent="0.25">
      <c r="G1416" s="698"/>
      <c r="H1416" s="12"/>
      <c r="I1416" s="12"/>
      <c r="J1416" s="12"/>
      <c r="K1416" s="12"/>
      <c r="L1416" s="12"/>
      <c r="M1416" s="11"/>
      <c r="N1416" s="11"/>
      <c r="O1416" s="11"/>
      <c r="P1416" s="11"/>
    </row>
    <row r="1417" spans="7:16" x14ac:dyDescent="0.25">
      <c r="G1417" s="698"/>
      <c r="H1417" s="12"/>
      <c r="I1417" s="12"/>
      <c r="J1417" s="12"/>
      <c r="K1417" s="12"/>
      <c r="L1417" s="12"/>
      <c r="M1417" s="11"/>
      <c r="N1417" s="11"/>
      <c r="O1417" s="11"/>
      <c r="P1417" s="11"/>
    </row>
    <row r="1418" spans="7:16" x14ac:dyDescent="0.25">
      <c r="G1418" s="698"/>
      <c r="H1418" s="12"/>
      <c r="I1418" s="12"/>
      <c r="J1418" s="12"/>
      <c r="K1418" s="12"/>
      <c r="L1418" s="12"/>
      <c r="M1418" s="11"/>
      <c r="N1418" s="11"/>
      <c r="O1418" s="11"/>
      <c r="P1418" s="11"/>
    </row>
    <row r="1419" spans="7:16" x14ac:dyDescent="0.25">
      <c r="G1419" s="698"/>
      <c r="H1419" s="12"/>
      <c r="I1419" s="12"/>
      <c r="J1419" s="12"/>
      <c r="K1419" s="12"/>
      <c r="L1419" s="12"/>
      <c r="M1419" s="11"/>
      <c r="N1419" s="11"/>
      <c r="O1419" s="11"/>
      <c r="P1419" s="11"/>
    </row>
    <row r="1420" spans="7:16" x14ac:dyDescent="0.25">
      <c r="G1420" s="698"/>
      <c r="H1420" s="12"/>
      <c r="I1420" s="12"/>
      <c r="J1420" s="12"/>
      <c r="K1420" s="12"/>
      <c r="L1420" s="12"/>
      <c r="M1420" s="11"/>
      <c r="N1420" s="11"/>
      <c r="O1420" s="11"/>
      <c r="P1420" s="11"/>
    </row>
    <row r="1421" spans="7:16" x14ac:dyDescent="0.25">
      <c r="G1421" s="698"/>
      <c r="H1421" s="12"/>
      <c r="I1421" s="12"/>
      <c r="J1421" s="12"/>
      <c r="K1421" s="12"/>
      <c r="L1421" s="12"/>
      <c r="M1421" s="11"/>
      <c r="N1421" s="11"/>
      <c r="O1421" s="11"/>
      <c r="P1421" s="11"/>
    </row>
    <row r="1422" spans="7:16" x14ac:dyDescent="0.25">
      <c r="G1422" s="698"/>
      <c r="H1422" s="12"/>
      <c r="I1422" s="12"/>
      <c r="J1422" s="12"/>
      <c r="K1422" s="12"/>
      <c r="L1422" s="12"/>
      <c r="M1422" s="11"/>
      <c r="N1422" s="11"/>
      <c r="O1422" s="11"/>
      <c r="P1422" s="11"/>
    </row>
    <row r="1423" spans="7:16" x14ac:dyDescent="0.25">
      <c r="G1423" s="698"/>
      <c r="H1423" s="12"/>
      <c r="I1423" s="12"/>
      <c r="J1423" s="12"/>
      <c r="K1423" s="12"/>
      <c r="L1423" s="12"/>
      <c r="M1423" s="11"/>
      <c r="N1423" s="11"/>
      <c r="O1423" s="11"/>
      <c r="P1423" s="11"/>
    </row>
    <row r="1424" spans="7:16" x14ac:dyDescent="0.25">
      <c r="G1424" s="698"/>
      <c r="H1424" s="12"/>
      <c r="I1424" s="12"/>
      <c r="J1424" s="12"/>
      <c r="K1424" s="12"/>
      <c r="L1424" s="12"/>
      <c r="M1424" s="11"/>
      <c r="N1424" s="11"/>
      <c r="O1424" s="11"/>
      <c r="P1424" s="11"/>
    </row>
    <row r="1425" spans="7:16" x14ac:dyDescent="0.25">
      <c r="G1425" s="698"/>
      <c r="H1425" s="12"/>
      <c r="I1425" s="12"/>
      <c r="J1425" s="12"/>
      <c r="K1425" s="12"/>
      <c r="L1425" s="12"/>
      <c r="M1425" s="11"/>
      <c r="N1425" s="11"/>
      <c r="O1425" s="11"/>
      <c r="P1425" s="11"/>
    </row>
    <row r="1426" spans="7:16" x14ac:dyDescent="0.25">
      <c r="G1426" s="698"/>
      <c r="H1426" s="12"/>
      <c r="I1426" s="12"/>
      <c r="J1426" s="12"/>
      <c r="K1426" s="12"/>
      <c r="L1426" s="12"/>
      <c r="M1426" s="11"/>
      <c r="N1426" s="11"/>
      <c r="O1426" s="11"/>
      <c r="P1426" s="11"/>
    </row>
    <row r="1427" spans="7:16" x14ac:dyDescent="0.25">
      <c r="G1427" s="698"/>
      <c r="H1427" s="12"/>
      <c r="I1427" s="12"/>
      <c r="J1427" s="12"/>
      <c r="K1427" s="12"/>
      <c r="L1427" s="12"/>
      <c r="M1427" s="11"/>
      <c r="N1427" s="11"/>
      <c r="O1427" s="11"/>
      <c r="P1427" s="11"/>
    </row>
    <row r="1428" spans="7:16" x14ac:dyDescent="0.25">
      <c r="G1428" s="698"/>
      <c r="H1428" s="12"/>
      <c r="I1428" s="12"/>
      <c r="J1428" s="12"/>
      <c r="K1428" s="12"/>
      <c r="L1428" s="12"/>
      <c r="M1428" s="11"/>
      <c r="N1428" s="11"/>
      <c r="O1428" s="11"/>
      <c r="P1428" s="11"/>
    </row>
    <row r="1429" spans="7:16" x14ac:dyDescent="0.25">
      <c r="G1429" s="698"/>
      <c r="H1429" s="12"/>
      <c r="I1429" s="12"/>
      <c r="J1429" s="12"/>
      <c r="K1429" s="12"/>
      <c r="L1429" s="12"/>
      <c r="M1429" s="11"/>
      <c r="N1429" s="11"/>
      <c r="O1429" s="11"/>
      <c r="P1429" s="11"/>
    </row>
    <row r="1430" spans="7:16" x14ac:dyDescent="0.25">
      <c r="G1430" s="698"/>
      <c r="H1430" s="12"/>
      <c r="I1430" s="12"/>
      <c r="J1430" s="12"/>
      <c r="K1430" s="12"/>
      <c r="L1430" s="12"/>
      <c r="M1430" s="11"/>
      <c r="N1430" s="11"/>
      <c r="O1430" s="11"/>
      <c r="P1430" s="11"/>
    </row>
    <row r="1431" spans="7:16" x14ac:dyDescent="0.25">
      <c r="G1431" s="698"/>
      <c r="H1431" s="12"/>
      <c r="I1431" s="12"/>
      <c r="J1431" s="12"/>
      <c r="K1431" s="12"/>
      <c r="L1431" s="12"/>
      <c r="M1431" s="11"/>
      <c r="N1431" s="11"/>
      <c r="O1431" s="11"/>
      <c r="P1431" s="11"/>
    </row>
    <row r="1432" spans="7:16" x14ac:dyDescent="0.25">
      <c r="G1432" s="698"/>
      <c r="H1432" s="12"/>
      <c r="I1432" s="12"/>
      <c r="J1432" s="12"/>
      <c r="K1432" s="12"/>
      <c r="L1432" s="12"/>
      <c r="M1432" s="11"/>
      <c r="N1432" s="11"/>
      <c r="O1432" s="11"/>
      <c r="P1432" s="11"/>
    </row>
    <row r="1433" spans="7:16" x14ac:dyDescent="0.25">
      <c r="G1433" s="698"/>
      <c r="H1433" s="12"/>
      <c r="I1433" s="12"/>
      <c r="J1433" s="12"/>
      <c r="K1433" s="12"/>
      <c r="L1433" s="12"/>
      <c r="M1433" s="11"/>
      <c r="N1433" s="11"/>
      <c r="O1433" s="11"/>
      <c r="P1433" s="11"/>
    </row>
    <row r="1434" spans="7:16" x14ac:dyDescent="0.25">
      <c r="G1434" s="698"/>
      <c r="H1434" s="12"/>
      <c r="I1434" s="12"/>
      <c r="J1434" s="12"/>
      <c r="K1434" s="12"/>
      <c r="L1434" s="12"/>
      <c r="M1434" s="11"/>
      <c r="N1434" s="11"/>
      <c r="O1434" s="11"/>
      <c r="P1434" s="11"/>
    </row>
    <row r="1435" spans="7:16" x14ac:dyDescent="0.25">
      <c r="G1435" s="698"/>
      <c r="H1435" s="12"/>
      <c r="I1435" s="12"/>
      <c r="J1435" s="12"/>
      <c r="K1435" s="12"/>
      <c r="L1435" s="12"/>
      <c r="M1435" s="11"/>
      <c r="N1435" s="11"/>
      <c r="O1435" s="11"/>
      <c r="P1435" s="11"/>
    </row>
    <row r="1436" spans="7:16" x14ac:dyDescent="0.25">
      <c r="G1436" s="698"/>
      <c r="H1436" s="12"/>
      <c r="I1436" s="12"/>
      <c r="J1436" s="12"/>
      <c r="K1436" s="12"/>
      <c r="L1436" s="12"/>
      <c r="M1436" s="11"/>
      <c r="N1436" s="11"/>
      <c r="O1436" s="11"/>
      <c r="P1436" s="11"/>
    </row>
    <row r="1437" spans="7:16" x14ac:dyDescent="0.25">
      <c r="G1437" s="698"/>
      <c r="H1437" s="12"/>
      <c r="I1437" s="12"/>
      <c r="J1437" s="12"/>
      <c r="K1437" s="12"/>
      <c r="L1437" s="12"/>
      <c r="M1437" s="11"/>
      <c r="N1437" s="11"/>
      <c r="O1437" s="11"/>
      <c r="P1437" s="11"/>
    </row>
    <row r="1438" spans="7:16" x14ac:dyDescent="0.25">
      <c r="G1438" s="698"/>
      <c r="H1438" s="12"/>
      <c r="I1438" s="12"/>
      <c r="J1438" s="12"/>
      <c r="K1438" s="12"/>
      <c r="L1438" s="12"/>
      <c r="M1438" s="11"/>
      <c r="N1438" s="11"/>
      <c r="O1438" s="11"/>
      <c r="P1438" s="11"/>
    </row>
    <row r="1439" spans="7:16" x14ac:dyDescent="0.25">
      <c r="G1439" s="698"/>
      <c r="H1439" s="12"/>
      <c r="I1439" s="12"/>
      <c r="J1439" s="12"/>
      <c r="K1439" s="12"/>
      <c r="L1439" s="12"/>
      <c r="M1439" s="11"/>
      <c r="N1439" s="11"/>
      <c r="O1439" s="11"/>
      <c r="P1439" s="11"/>
    </row>
    <row r="1440" spans="7:16" x14ac:dyDescent="0.25">
      <c r="G1440" s="698"/>
      <c r="H1440" s="12"/>
      <c r="I1440" s="12"/>
      <c r="J1440" s="12"/>
      <c r="K1440" s="12"/>
      <c r="L1440" s="12"/>
      <c r="M1440" s="11"/>
      <c r="N1440" s="11"/>
      <c r="O1440" s="11"/>
      <c r="P1440" s="11"/>
    </row>
    <row r="1441" spans="7:16" x14ac:dyDescent="0.25">
      <c r="G1441" s="698"/>
      <c r="H1441" s="12"/>
      <c r="I1441" s="12"/>
      <c r="J1441" s="12"/>
      <c r="K1441" s="12"/>
      <c r="L1441" s="12"/>
      <c r="M1441" s="11"/>
      <c r="N1441" s="11"/>
      <c r="O1441" s="11"/>
      <c r="P1441" s="11"/>
    </row>
    <row r="1442" spans="7:16" x14ac:dyDescent="0.25">
      <c r="G1442" s="698"/>
      <c r="H1442" s="12"/>
      <c r="I1442" s="12"/>
      <c r="J1442" s="12"/>
      <c r="K1442" s="12"/>
      <c r="L1442" s="12"/>
      <c r="M1442" s="11"/>
      <c r="N1442" s="11"/>
      <c r="O1442" s="11"/>
      <c r="P1442" s="11"/>
    </row>
    <row r="1443" spans="7:16" x14ac:dyDescent="0.25">
      <c r="G1443" s="698"/>
      <c r="H1443" s="12"/>
      <c r="I1443" s="12"/>
      <c r="J1443" s="12"/>
      <c r="K1443" s="12"/>
      <c r="L1443" s="12"/>
      <c r="M1443" s="11"/>
      <c r="N1443" s="11"/>
      <c r="O1443" s="11"/>
      <c r="P1443" s="11"/>
    </row>
    <row r="1444" spans="7:16" x14ac:dyDescent="0.25">
      <c r="G1444" s="698"/>
      <c r="H1444" s="12"/>
      <c r="I1444" s="12"/>
      <c r="J1444" s="12"/>
      <c r="K1444" s="12"/>
      <c r="L1444" s="12"/>
      <c r="M1444" s="11"/>
      <c r="N1444" s="11"/>
      <c r="O1444" s="11"/>
      <c r="P1444" s="11"/>
    </row>
    <row r="1445" spans="7:16" x14ac:dyDescent="0.25">
      <c r="G1445" s="698"/>
      <c r="H1445" s="12"/>
      <c r="I1445" s="12"/>
      <c r="J1445" s="12"/>
      <c r="K1445" s="12"/>
      <c r="L1445" s="12"/>
      <c r="M1445" s="11"/>
      <c r="N1445" s="11"/>
      <c r="O1445" s="11"/>
      <c r="P1445" s="11"/>
    </row>
    <row r="1446" spans="7:16" x14ac:dyDescent="0.25">
      <c r="G1446" s="698"/>
      <c r="H1446" s="12"/>
      <c r="I1446" s="12"/>
      <c r="J1446" s="12"/>
      <c r="K1446" s="12"/>
      <c r="L1446" s="12"/>
      <c r="M1446" s="11"/>
      <c r="N1446" s="11"/>
      <c r="O1446" s="11"/>
      <c r="P1446" s="11"/>
    </row>
    <row r="1447" spans="7:16" x14ac:dyDescent="0.25">
      <c r="G1447" s="698"/>
      <c r="H1447" s="12"/>
      <c r="I1447" s="12"/>
      <c r="J1447" s="12"/>
      <c r="K1447" s="12"/>
      <c r="L1447" s="12"/>
      <c r="M1447" s="11"/>
      <c r="N1447" s="11"/>
      <c r="O1447" s="11"/>
      <c r="P1447" s="11"/>
    </row>
    <row r="1448" spans="7:16" x14ac:dyDescent="0.25">
      <c r="G1448" s="698"/>
      <c r="H1448" s="12"/>
      <c r="I1448" s="12"/>
      <c r="J1448" s="12"/>
      <c r="K1448" s="12"/>
      <c r="L1448" s="12"/>
      <c r="M1448" s="11"/>
      <c r="N1448" s="11"/>
      <c r="O1448" s="11"/>
      <c r="P1448" s="11"/>
    </row>
    <row r="1449" spans="7:16" x14ac:dyDescent="0.25">
      <c r="G1449" s="698"/>
      <c r="H1449" s="12"/>
      <c r="I1449" s="12"/>
      <c r="J1449" s="12"/>
      <c r="K1449" s="12"/>
      <c r="L1449" s="12"/>
      <c r="M1449" s="11"/>
      <c r="N1449" s="11"/>
      <c r="O1449" s="11"/>
      <c r="P1449" s="11"/>
    </row>
    <row r="1450" spans="7:16" x14ac:dyDescent="0.25">
      <c r="G1450" s="698"/>
      <c r="H1450" s="12"/>
      <c r="I1450" s="12"/>
      <c r="J1450" s="12"/>
      <c r="K1450" s="12"/>
      <c r="L1450" s="12"/>
      <c r="M1450" s="11"/>
      <c r="N1450" s="11"/>
      <c r="O1450" s="11"/>
      <c r="P1450" s="11"/>
    </row>
    <row r="1451" spans="7:16" x14ac:dyDescent="0.25">
      <c r="G1451" s="698"/>
      <c r="H1451" s="12"/>
      <c r="I1451" s="12"/>
      <c r="J1451" s="12"/>
      <c r="K1451" s="12"/>
      <c r="L1451" s="12"/>
      <c r="M1451" s="11"/>
      <c r="N1451" s="11"/>
      <c r="O1451" s="11"/>
      <c r="P1451" s="11"/>
    </row>
    <row r="1452" spans="7:16" x14ac:dyDescent="0.25">
      <c r="G1452" s="698"/>
      <c r="H1452" s="12"/>
      <c r="I1452" s="12"/>
      <c r="J1452" s="12"/>
      <c r="K1452" s="12"/>
      <c r="L1452" s="12"/>
      <c r="M1452" s="11"/>
      <c r="N1452" s="11"/>
      <c r="O1452" s="11"/>
      <c r="P1452" s="11"/>
    </row>
    <row r="1453" spans="7:16" x14ac:dyDescent="0.25">
      <c r="G1453" s="698"/>
      <c r="H1453" s="12"/>
      <c r="I1453" s="12"/>
      <c r="J1453" s="12"/>
      <c r="K1453" s="12"/>
      <c r="L1453" s="12"/>
      <c r="M1453" s="11"/>
      <c r="N1453" s="11"/>
      <c r="O1453" s="11"/>
      <c r="P1453" s="11"/>
    </row>
    <row r="1454" spans="7:16" x14ac:dyDescent="0.25">
      <c r="G1454" s="698"/>
      <c r="H1454" s="12"/>
      <c r="I1454" s="12"/>
      <c r="J1454" s="12"/>
      <c r="K1454" s="12"/>
      <c r="L1454" s="12"/>
      <c r="M1454" s="11"/>
      <c r="N1454" s="11"/>
      <c r="O1454" s="11"/>
      <c r="P1454" s="11"/>
    </row>
    <row r="1455" spans="7:16" x14ac:dyDescent="0.25">
      <c r="G1455" s="698"/>
      <c r="H1455" s="12"/>
      <c r="I1455" s="12"/>
      <c r="J1455" s="12"/>
      <c r="K1455" s="12"/>
      <c r="L1455" s="12"/>
      <c r="M1455" s="11"/>
      <c r="N1455" s="11"/>
      <c r="O1455" s="11"/>
      <c r="P1455" s="11"/>
    </row>
    <row r="1456" spans="7:16" x14ac:dyDescent="0.25">
      <c r="G1456" s="698"/>
      <c r="H1456" s="12"/>
      <c r="I1456" s="12"/>
      <c r="J1456" s="12"/>
      <c r="K1456" s="12"/>
      <c r="L1456" s="12"/>
      <c r="M1456" s="11"/>
      <c r="N1456" s="11"/>
      <c r="O1456" s="11"/>
      <c r="P1456" s="11"/>
    </row>
    <row r="1457" spans="7:16" x14ac:dyDescent="0.25">
      <c r="G1457" s="698"/>
      <c r="H1457" s="12"/>
      <c r="I1457" s="12"/>
      <c r="J1457" s="12"/>
      <c r="K1457" s="12"/>
      <c r="L1457" s="12"/>
      <c r="M1457" s="11"/>
      <c r="N1457" s="11"/>
      <c r="O1457" s="11"/>
      <c r="P1457" s="11"/>
    </row>
    <row r="1458" spans="7:16" x14ac:dyDescent="0.25">
      <c r="G1458" s="698"/>
      <c r="H1458" s="12"/>
      <c r="I1458" s="12"/>
      <c r="J1458" s="12"/>
      <c r="K1458" s="12"/>
      <c r="L1458" s="12"/>
      <c r="M1458" s="11"/>
      <c r="N1458" s="11"/>
      <c r="O1458" s="11"/>
      <c r="P1458" s="11"/>
    </row>
    <row r="1459" spans="7:16" x14ac:dyDescent="0.25">
      <c r="G1459" s="698"/>
      <c r="H1459" s="12"/>
      <c r="I1459" s="12"/>
      <c r="J1459" s="12"/>
      <c r="K1459" s="12"/>
      <c r="L1459" s="12"/>
      <c r="M1459" s="11"/>
      <c r="N1459" s="11"/>
      <c r="O1459" s="11"/>
      <c r="P1459" s="11"/>
    </row>
    <row r="1460" spans="7:16" x14ac:dyDescent="0.25">
      <c r="G1460" s="698"/>
      <c r="H1460" s="12"/>
      <c r="I1460" s="12"/>
      <c r="J1460" s="12"/>
      <c r="K1460" s="12"/>
      <c r="L1460" s="12"/>
      <c r="M1460" s="11"/>
      <c r="N1460" s="11"/>
      <c r="O1460" s="11"/>
      <c r="P1460" s="11"/>
    </row>
    <row r="1461" spans="7:16" x14ac:dyDescent="0.25">
      <c r="G1461" s="698"/>
      <c r="H1461" s="12"/>
      <c r="I1461" s="12"/>
      <c r="J1461" s="12"/>
      <c r="K1461" s="12"/>
      <c r="L1461" s="12"/>
      <c r="M1461" s="11"/>
      <c r="N1461" s="11"/>
      <c r="O1461" s="11"/>
      <c r="P1461" s="11"/>
    </row>
    <row r="1462" spans="7:16" x14ac:dyDescent="0.25">
      <c r="G1462" s="698"/>
      <c r="H1462" s="12"/>
      <c r="I1462" s="12"/>
      <c r="J1462" s="12"/>
      <c r="K1462" s="12"/>
      <c r="L1462" s="12"/>
      <c r="M1462" s="11"/>
      <c r="N1462" s="11"/>
      <c r="O1462" s="11"/>
      <c r="P1462" s="11"/>
    </row>
    <row r="1463" spans="7:16" x14ac:dyDescent="0.25">
      <c r="G1463" s="698"/>
      <c r="H1463" s="12"/>
      <c r="I1463" s="12"/>
      <c r="J1463" s="12"/>
      <c r="K1463" s="12"/>
      <c r="L1463" s="12"/>
      <c r="M1463" s="11"/>
      <c r="N1463" s="11"/>
      <c r="O1463" s="11"/>
      <c r="P1463" s="11"/>
    </row>
    <row r="1464" spans="7:16" x14ac:dyDescent="0.25">
      <c r="G1464" s="698"/>
      <c r="H1464" s="12"/>
      <c r="I1464" s="12"/>
      <c r="J1464" s="12"/>
      <c r="K1464" s="12"/>
      <c r="L1464" s="12"/>
      <c r="M1464" s="11"/>
      <c r="N1464" s="11"/>
      <c r="O1464" s="11"/>
      <c r="P1464" s="11"/>
    </row>
    <row r="1465" spans="7:16" x14ac:dyDescent="0.25">
      <c r="G1465" s="698"/>
      <c r="H1465" s="12"/>
      <c r="I1465" s="12"/>
      <c r="J1465" s="12"/>
      <c r="K1465" s="12"/>
      <c r="L1465" s="12"/>
      <c r="M1465" s="11"/>
      <c r="N1465" s="11"/>
      <c r="O1465" s="11"/>
      <c r="P1465" s="11"/>
    </row>
    <row r="1466" spans="7:16" x14ac:dyDescent="0.25">
      <c r="G1466" s="698"/>
      <c r="H1466" s="12"/>
      <c r="I1466" s="12"/>
      <c r="J1466" s="12"/>
      <c r="K1466" s="12"/>
      <c r="L1466" s="12"/>
      <c r="M1466" s="11"/>
      <c r="N1466" s="11"/>
      <c r="O1466" s="11"/>
      <c r="P1466" s="11"/>
    </row>
    <row r="1467" spans="7:16" x14ac:dyDescent="0.25">
      <c r="G1467" s="698"/>
      <c r="H1467" s="12"/>
      <c r="I1467" s="12"/>
      <c r="J1467" s="12"/>
      <c r="K1467" s="12"/>
      <c r="L1467" s="12"/>
      <c r="M1467" s="11"/>
      <c r="N1467" s="11"/>
      <c r="O1467" s="11"/>
      <c r="P1467" s="11"/>
    </row>
    <row r="1468" spans="7:16" x14ac:dyDescent="0.25">
      <c r="G1468" s="698"/>
      <c r="H1468" s="12"/>
      <c r="I1468" s="12"/>
      <c r="J1468" s="12"/>
      <c r="K1468" s="12"/>
      <c r="L1468" s="12"/>
      <c r="M1468" s="11"/>
      <c r="N1468" s="11"/>
      <c r="O1468" s="11"/>
      <c r="P1468" s="11"/>
    </row>
    <row r="1469" spans="7:16" x14ac:dyDescent="0.25">
      <c r="G1469" s="698"/>
      <c r="H1469" s="12"/>
      <c r="I1469" s="12"/>
      <c r="J1469" s="12"/>
      <c r="K1469" s="12"/>
      <c r="L1469" s="12"/>
      <c r="M1469" s="11"/>
      <c r="N1469" s="11"/>
      <c r="O1469" s="11"/>
      <c r="P1469" s="11"/>
    </row>
    <row r="1470" spans="7:16" x14ac:dyDescent="0.25">
      <c r="G1470" s="698"/>
      <c r="H1470" s="12"/>
      <c r="I1470" s="12"/>
      <c r="J1470" s="12"/>
      <c r="K1470" s="12"/>
      <c r="L1470" s="12"/>
      <c r="M1470" s="11"/>
      <c r="N1470" s="11"/>
      <c r="O1470" s="11"/>
      <c r="P1470" s="11"/>
    </row>
    <row r="1471" spans="7:16" x14ac:dyDescent="0.25">
      <c r="G1471" s="698"/>
      <c r="H1471" s="12"/>
      <c r="I1471" s="12"/>
      <c r="J1471" s="12"/>
      <c r="K1471" s="12"/>
      <c r="L1471" s="12"/>
      <c r="M1471" s="11"/>
      <c r="N1471" s="11"/>
      <c r="O1471" s="11"/>
      <c r="P1471" s="11"/>
    </row>
    <row r="1472" spans="7:16" x14ac:dyDescent="0.25">
      <c r="G1472" s="698"/>
      <c r="H1472" s="12"/>
      <c r="I1472" s="12"/>
      <c r="J1472" s="12"/>
      <c r="K1472" s="12"/>
      <c r="L1472" s="12"/>
      <c r="M1472" s="11"/>
      <c r="N1472" s="11"/>
      <c r="O1472" s="11"/>
      <c r="P1472" s="11"/>
    </row>
    <row r="1473" spans="7:16" x14ac:dyDescent="0.25">
      <c r="G1473" s="698"/>
      <c r="H1473" s="12"/>
      <c r="I1473" s="12"/>
      <c r="J1473" s="12"/>
      <c r="K1473" s="12"/>
      <c r="L1473" s="12"/>
      <c r="M1473" s="11"/>
      <c r="N1473" s="11"/>
      <c r="O1473" s="11"/>
      <c r="P1473" s="11"/>
    </row>
    <row r="1474" spans="7:16" x14ac:dyDescent="0.25">
      <c r="G1474" s="698"/>
      <c r="H1474" s="12"/>
      <c r="I1474" s="12"/>
      <c r="J1474" s="12"/>
      <c r="K1474" s="12"/>
      <c r="L1474" s="12"/>
      <c r="M1474" s="11"/>
      <c r="N1474" s="11"/>
      <c r="O1474" s="11"/>
      <c r="P1474" s="11"/>
    </row>
    <row r="1475" spans="7:16" x14ac:dyDescent="0.25">
      <c r="G1475" s="698"/>
      <c r="H1475" s="12"/>
      <c r="I1475" s="12"/>
      <c r="J1475" s="12"/>
      <c r="K1475" s="12"/>
      <c r="L1475" s="12"/>
      <c r="M1475" s="11"/>
      <c r="N1475" s="11"/>
      <c r="O1475" s="11"/>
      <c r="P1475" s="11"/>
    </row>
    <row r="1476" spans="7:16" x14ac:dyDescent="0.25">
      <c r="G1476" s="698"/>
      <c r="H1476" s="12"/>
      <c r="I1476" s="12"/>
      <c r="J1476" s="12"/>
      <c r="K1476" s="12"/>
      <c r="L1476" s="12"/>
      <c r="M1476" s="11"/>
      <c r="N1476" s="11"/>
      <c r="O1476" s="11"/>
      <c r="P1476" s="11"/>
    </row>
    <row r="1477" spans="7:16" x14ac:dyDescent="0.25">
      <c r="G1477" s="698"/>
      <c r="H1477" s="12"/>
      <c r="I1477" s="12"/>
      <c r="J1477" s="12"/>
      <c r="K1477" s="12"/>
      <c r="L1477" s="12"/>
      <c r="M1477" s="11"/>
      <c r="N1477" s="11"/>
      <c r="O1477" s="11"/>
      <c r="P1477" s="11"/>
    </row>
    <row r="1478" spans="7:16" x14ac:dyDescent="0.25">
      <c r="G1478" s="698"/>
      <c r="H1478" s="12"/>
      <c r="I1478" s="12"/>
      <c r="J1478" s="12"/>
      <c r="K1478" s="12"/>
      <c r="L1478" s="12"/>
      <c r="M1478" s="11"/>
      <c r="N1478" s="11"/>
      <c r="O1478" s="11"/>
      <c r="P1478" s="11"/>
    </row>
    <row r="1479" spans="7:16" x14ac:dyDescent="0.25">
      <c r="G1479" s="698"/>
      <c r="H1479" s="12"/>
      <c r="I1479" s="12"/>
      <c r="J1479" s="12"/>
      <c r="K1479" s="12"/>
      <c r="L1479" s="12"/>
      <c r="M1479" s="11"/>
      <c r="N1479" s="11"/>
      <c r="O1479" s="11"/>
      <c r="P1479" s="11"/>
    </row>
    <row r="1480" spans="7:16" x14ac:dyDescent="0.25">
      <c r="G1480" s="698"/>
      <c r="H1480" s="12"/>
      <c r="I1480" s="12"/>
      <c r="J1480" s="12"/>
      <c r="K1480" s="12"/>
      <c r="L1480" s="12"/>
      <c r="M1480" s="11"/>
      <c r="N1480" s="11"/>
      <c r="O1480" s="11"/>
      <c r="P1480" s="11"/>
    </row>
    <row r="1481" spans="7:16" x14ac:dyDescent="0.25">
      <c r="G1481" s="698"/>
      <c r="H1481" s="12"/>
      <c r="I1481" s="12"/>
      <c r="J1481" s="12"/>
      <c r="K1481" s="12"/>
      <c r="L1481" s="12"/>
      <c r="M1481" s="11"/>
      <c r="N1481" s="11"/>
      <c r="O1481" s="11"/>
      <c r="P1481" s="11"/>
    </row>
    <row r="1482" spans="7:16" x14ac:dyDescent="0.25">
      <c r="G1482" s="698"/>
      <c r="H1482" s="12"/>
      <c r="I1482" s="12"/>
      <c r="J1482" s="12"/>
      <c r="K1482" s="12"/>
      <c r="L1482" s="12"/>
      <c r="M1482" s="11"/>
      <c r="N1482" s="11"/>
      <c r="O1482" s="11"/>
      <c r="P1482" s="11"/>
    </row>
    <row r="1483" spans="7:16" x14ac:dyDescent="0.25">
      <c r="G1483" s="698"/>
      <c r="H1483" s="12"/>
      <c r="I1483" s="12"/>
      <c r="J1483" s="12"/>
      <c r="K1483" s="12"/>
      <c r="L1483" s="12"/>
      <c r="M1483" s="11"/>
      <c r="N1483" s="11"/>
      <c r="O1483" s="11"/>
      <c r="P1483" s="11"/>
    </row>
    <row r="1484" spans="7:16" x14ac:dyDescent="0.25">
      <c r="G1484" s="698"/>
      <c r="H1484" s="12"/>
      <c r="I1484" s="12"/>
      <c r="J1484" s="12"/>
      <c r="K1484" s="12"/>
      <c r="L1484" s="12"/>
      <c r="M1484" s="11"/>
      <c r="N1484" s="11"/>
      <c r="O1484" s="11"/>
      <c r="P1484" s="11"/>
    </row>
    <row r="1485" spans="7:16" x14ac:dyDescent="0.25">
      <c r="G1485" s="698"/>
      <c r="H1485" s="12"/>
      <c r="I1485" s="12"/>
      <c r="J1485" s="12"/>
      <c r="K1485" s="12"/>
      <c r="L1485" s="12"/>
      <c r="M1485" s="11"/>
      <c r="N1485" s="11"/>
      <c r="O1485" s="11"/>
      <c r="P1485" s="11"/>
    </row>
    <row r="1486" spans="7:16" x14ac:dyDescent="0.25">
      <c r="G1486" s="698"/>
      <c r="H1486" s="12"/>
      <c r="I1486" s="12"/>
      <c r="J1486" s="12"/>
      <c r="K1486" s="12"/>
      <c r="L1486" s="12"/>
      <c r="M1486" s="11"/>
      <c r="N1486" s="11"/>
      <c r="O1486" s="11"/>
      <c r="P1486" s="11"/>
    </row>
    <row r="1487" spans="7:16" x14ac:dyDescent="0.25">
      <c r="G1487" s="698"/>
      <c r="H1487" s="12"/>
      <c r="I1487" s="12"/>
      <c r="J1487" s="12"/>
      <c r="K1487" s="12"/>
      <c r="L1487" s="12"/>
      <c r="M1487" s="11"/>
      <c r="N1487" s="11"/>
      <c r="O1487" s="11"/>
      <c r="P1487" s="11"/>
    </row>
    <row r="1488" spans="7:16" x14ac:dyDescent="0.25">
      <c r="G1488" s="698"/>
      <c r="H1488" s="12"/>
      <c r="I1488" s="12"/>
      <c r="J1488" s="12"/>
      <c r="K1488" s="12"/>
      <c r="L1488" s="12"/>
      <c r="M1488" s="11"/>
      <c r="N1488" s="11"/>
      <c r="O1488" s="11"/>
      <c r="P1488" s="11"/>
    </row>
    <row r="1489" spans="7:16" x14ac:dyDescent="0.25">
      <c r="G1489" s="698"/>
      <c r="H1489" s="12"/>
      <c r="I1489" s="12"/>
      <c r="J1489" s="12"/>
      <c r="K1489" s="12"/>
      <c r="L1489" s="12"/>
      <c r="M1489" s="11"/>
      <c r="N1489" s="11"/>
      <c r="O1489" s="11"/>
      <c r="P1489" s="11"/>
    </row>
    <row r="1490" spans="7:16" x14ac:dyDescent="0.25">
      <c r="G1490" s="698"/>
      <c r="H1490" s="12"/>
      <c r="I1490" s="12"/>
      <c r="J1490" s="12"/>
      <c r="K1490" s="12"/>
      <c r="L1490" s="12"/>
      <c r="M1490" s="11"/>
      <c r="N1490" s="11"/>
      <c r="O1490" s="11"/>
      <c r="P1490" s="11"/>
    </row>
    <row r="1491" spans="7:16" x14ac:dyDescent="0.25">
      <c r="G1491" s="698"/>
      <c r="H1491" s="12"/>
      <c r="I1491" s="12"/>
      <c r="J1491" s="12"/>
      <c r="K1491" s="12"/>
      <c r="L1491" s="12"/>
      <c r="M1491" s="11"/>
      <c r="N1491" s="11"/>
      <c r="O1491" s="11"/>
      <c r="P1491" s="11"/>
    </row>
    <row r="1492" spans="7:16" x14ac:dyDescent="0.25">
      <c r="G1492" s="698"/>
      <c r="H1492" s="12"/>
      <c r="I1492" s="12"/>
      <c r="J1492" s="12"/>
      <c r="K1492" s="12"/>
      <c r="L1492" s="12"/>
      <c r="M1492" s="11"/>
      <c r="N1492" s="11"/>
      <c r="O1492" s="11"/>
      <c r="P1492" s="11"/>
    </row>
    <row r="1493" spans="7:16" x14ac:dyDescent="0.25">
      <c r="G1493" s="698"/>
      <c r="H1493" s="12"/>
      <c r="I1493" s="12"/>
      <c r="J1493" s="12"/>
      <c r="K1493" s="12"/>
      <c r="L1493" s="12"/>
      <c r="M1493" s="11"/>
      <c r="N1493" s="11"/>
      <c r="O1493" s="11"/>
      <c r="P1493" s="11"/>
    </row>
    <row r="1494" spans="7:16" x14ac:dyDescent="0.25">
      <c r="G1494" s="698"/>
      <c r="H1494" s="12"/>
      <c r="I1494" s="12"/>
      <c r="J1494" s="12"/>
      <c r="K1494" s="12"/>
      <c r="L1494" s="12"/>
      <c r="M1494" s="11"/>
      <c r="N1494" s="11"/>
      <c r="O1494" s="11"/>
      <c r="P1494" s="11"/>
    </row>
    <row r="1495" spans="7:16" x14ac:dyDescent="0.25">
      <c r="G1495" s="698"/>
      <c r="H1495" s="12"/>
      <c r="I1495" s="12"/>
      <c r="J1495" s="12"/>
      <c r="K1495" s="12"/>
      <c r="L1495" s="12"/>
      <c r="M1495" s="11"/>
      <c r="N1495" s="11"/>
      <c r="O1495" s="11"/>
      <c r="P1495" s="11"/>
    </row>
    <row r="1496" spans="7:16" x14ac:dyDescent="0.25">
      <c r="G1496" s="698"/>
      <c r="H1496" s="12"/>
      <c r="I1496" s="12"/>
      <c r="J1496" s="12"/>
      <c r="K1496" s="12"/>
      <c r="L1496" s="12"/>
      <c r="M1496" s="11"/>
      <c r="N1496" s="11"/>
      <c r="O1496" s="11"/>
      <c r="P1496" s="11"/>
    </row>
    <row r="1497" spans="7:16" x14ac:dyDescent="0.25">
      <c r="G1497" s="698"/>
      <c r="H1497" s="12"/>
      <c r="I1497" s="12"/>
      <c r="J1497" s="12"/>
      <c r="K1497" s="12"/>
      <c r="L1497" s="12"/>
      <c r="M1497" s="11"/>
      <c r="N1497" s="11"/>
      <c r="O1497" s="11"/>
      <c r="P1497" s="11"/>
    </row>
    <row r="1498" spans="7:16" x14ac:dyDescent="0.25">
      <c r="G1498" s="698"/>
      <c r="H1498" s="12"/>
      <c r="I1498" s="12"/>
      <c r="J1498" s="12"/>
      <c r="K1498" s="12"/>
      <c r="L1498" s="12"/>
      <c r="M1498" s="11"/>
      <c r="N1498" s="11"/>
      <c r="O1498" s="11"/>
      <c r="P1498" s="11"/>
    </row>
    <row r="1499" spans="7:16" x14ac:dyDescent="0.25">
      <c r="G1499" s="698"/>
      <c r="H1499" s="12"/>
      <c r="I1499" s="12"/>
      <c r="J1499" s="12"/>
      <c r="K1499" s="12"/>
      <c r="L1499" s="12"/>
      <c r="M1499" s="11"/>
      <c r="N1499" s="11"/>
      <c r="O1499" s="11"/>
      <c r="P1499" s="11"/>
    </row>
    <row r="1500" spans="7:16" x14ac:dyDescent="0.25">
      <c r="G1500" s="698"/>
      <c r="H1500" s="12"/>
      <c r="I1500" s="12"/>
      <c r="J1500" s="12"/>
      <c r="K1500" s="12"/>
      <c r="L1500" s="12"/>
      <c r="M1500" s="11"/>
      <c r="N1500" s="11"/>
      <c r="O1500" s="11"/>
      <c r="P1500" s="11"/>
    </row>
    <row r="1501" spans="7:16" x14ac:dyDescent="0.25">
      <c r="G1501" s="698"/>
      <c r="H1501" s="12"/>
      <c r="I1501" s="12"/>
      <c r="J1501" s="12"/>
      <c r="K1501" s="12"/>
      <c r="L1501" s="12"/>
      <c r="M1501" s="11"/>
      <c r="N1501" s="11"/>
      <c r="O1501" s="11"/>
      <c r="P1501" s="11"/>
    </row>
    <row r="1502" spans="7:16" x14ac:dyDescent="0.25">
      <c r="G1502" s="698"/>
      <c r="H1502" s="12"/>
      <c r="I1502" s="12"/>
      <c r="J1502" s="12"/>
      <c r="K1502" s="12"/>
      <c r="L1502" s="12"/>
      <c r="M1502" s="11"/>
      <c r="N1502" s="11"/>
      <c r="O1502" s="11"/>
      <c r="P1502" s="11"/>
    </row>
    <row r="1503" spans="7:16" x14ac:dyDescent="0.25">
      <c r="G1503" s="698"/>
      <c r="H1503" s="12"/>
      <c r="I1503" s="12"/>
      <c r="J1503" s="12"/>
      <c r="K1503" s="12"/>
      <c r="L1503" s="12"/>
      <c r="M1503" s="11"/>
      <c r="N1503" s="11"/>
      <c r="O1503" s="11"/>
      <c r="P1503" s="11"/>
    </row>
    <row r="1504" spans="7:16" x14ac:dyDescent="0.25">
      <c r="G1504" s="698"/>
      <c r="H1504" s="12"/>
      <c r="I1504" s="12"/>
      <c r="J1504" s="12"/>
      <c r="K1504" s="12"/>
      <c r="L1504" s="12"/>
      <c r="M1504" s="11"/>
      <c r="N1504" s="11"/>
      <c r="O1504" s="11"/>
      <c r="P1504" s="11"/>
    </row>
    <row r="1505" spans="7:16" x14ac:dyDescent="0.25">
      <c r="G1505" s="698"/>
      <c r="H1505" s="12"/>
      <c r="I1505" s="12"/>
      <c r="J1505" s="12"/>
      <c r="K1505" s="12"/>
      <c r="L1505" s="12"/>
      <c r="M1505" s="11"/>
      <c r="N1505" s="11"/>
      <c r="O1505" s="11"/>
      <c r="P1505" s="11"/>
    </row>
    <row r="1506" spans="7:16" x14ac:dyDescent="0.25">
      <c r="G1506" s="698"/>
      <c r="H1506" s="12"/>
      <c r="I1506" s="12"/>
      <c r="J1506" s="12"/>
      <c r="K1506" s="12"/>
      <c r="L1506" s="12"/>
      <c r="M1506" s="11"/>
      <c r="N1506" s="11"/>
      <c r="O1506" s="11"/>
      <c r="P1506" s="11"/>
    </row>
    <row r="1507" spans="7:16" x14ac:dyDescent="0.25">
      <c r="G1507" s="698"/>
      <c r="H1507" s="12"/>
      <c r="I1507" s="12"/>
      <c r="J1507" s="12"/>
      <c r="K1507" s="12"/>
      <c r="L1507" s="12"/>
      <c r="M1507" s="11"/>
      <c r="N1507" s="11"/>
      <c r="O1507" s="11"/>
      <c r="P1507" s="11"/>
    </row>
    <row r="1508" spans="7:16" x14ac:dyDescent="0.25">
      <c r="G1508" s="698"/>
      <c r="H1508" s="12"/>
      <c r="I1508" s="12"/>
      <c r="J1508" s="12"/>
      <c r="K1508" s="12"/>
      <c r="L1508" s="12"/>
      <c r="M1508" s="11"/>
      <c r="N1508" s="11"/>
      <c r="O1508" s="11"/>
      <c r="P1508" s="11"/>
    </row>
    <row r="1509" spans="7:16" x14ac:dyDescent="0.25">
      <c r="G1509" s="698"/>
      <c r="H1509" s="12"/>
      <c r="I1509" s="12"/>
      <c r="J1509" s="12"/>
      <c r="K1509" s="12"/>
      <c r="L1509" s="12"/>
      <c r="M1509" s="11"/>
      <c r="N1509" s="11"/>
      <c r="O1509" s="11"/>
      <c r="P1509" s="11"/>
    </row>
    <row r="1510" spans="7:16" x14ac:dyDescent="0.25">
      <c r="G1510" s="698"/>
      <c r="H1510" s="12"/>
      <c r="I1510" s="12"/>
      <c r="J1510" s="12"/>
      <c r="K1510" s="12"/>
      <c r="L1510" s="12"/>
      <c r="M1510" s="11"/>
      <c r="N1510" s="11"/>
      <c r="O1510" s="11"/>
      <c r="P1510" s="11"/>
    </row>
    <row r="1511" spans="7:16" x14ac:dyDescent="0.25">
      <c r="G1511" s="698"/>
      <c r="H1511" s="12"/>
      <c r="I1511" s="12"/>
      <c r="J1511" s="12"/>
      <c r="K1511" s="12"/>
      <c r="L1511" s="12"/>
      <c r="M1511" s="11"/>
      <c r="N1511" s="11"/>
      <c r="O1511" s="11"/>
      <c r="P1511" s="11"/>
    </row>
    <row r="1512" spans="7:16" x14ac:dyDescent="0.25">
      <c r="G1512" s="698"/>
      <c r="H1512" s="12"/>
      <c r="I1512" s="12"/>
      <c r="J1512" s="12"/>
      <c r="K1512" s="12"/>
      <c r="L1512" s="12"/>
      <c r="M1512" s="11"/>
      <c r="N1512" s="11"/>
      <c r="O1512" s="11"/>
      <c r="P1512" s="11"/>
    </row>
    <row r="1513" spans="7:16" x14ac:dyDescent="0.25">
      <c r="G1513" s="698"/>
      <c r="H1513" s="12"/>
      <c r="I1513" s="12"/>
      <c r="J1513" s="12"/>
      <c r="K1513" s="12"/>
      <c r="L1513" s="12"/>
      <c r="M1513" s="11"/>
      <c r="N1513" s="11"/>
      <c r="O1513" s="11"/>
      <c r="P1513" s="11"/>
    </row>
    <row r="1514" spans="7:16" x14ac:dyDescent="0.25">
      <c r="G1514" s="698"/>
      <c r="H1514" s="12"/>
      <c r="I1514" s="12"/>
      <c r="J1514" s="12"/>
      <c r="K1514" s="12"/>
      <c r="L1514" s="12"/>
      <c r="M1514" s="11"/>
      <c r="N1514" s="11"/>
      <c r="O1514" s="11"/>
      <c r="P1514" s="11"/>
    </row>
    <row r="1515" spans="7:16" x14ac:dyDescent="0.25">
      <c r="G1515" s="698"/>
      <c r="H1515" s="12"/>
      <c r="I1515" s="12"/>
      <c r="J1515" s="12"/>
      <c r="K1515" s="12"/>
      <c r="L1515" s="12"/>
      <c r="M1515" s="11"/>
      <c r="N1515" s="11"/>
      <c r="O1515" s="11"/>
      <c r="P1515" s="11"/>
    </row>
    <row r="1516" spans="7:16" x14ac:dyDescent="0.25">
      <c r="G1516" s="698"/>
      <c r="H1516" s="12"/>
      <c r="I1516" s="12"/>
      <c r="J1516" s="12"/>
      <c r="K1516" s="12"/>
      <c r="L1516" s="12"/>
      <c r="M1516" s="11"/>
      <c r="N1516" s="11"/>
      <c r="O1516" s="11"/>
      <c r="P1516" s="11"/>
    </row>
    <row r="1517" spans="7:16" x14ac:dyDescent="0.25">
      <c r="G1517" s="698"/>
      <c r="H1517" s="12"/>
      <c r="I1517" s="12"/>
      <c r="J1517" s="12"/>
      <c r="K1517" s="12"/>
      <c r="L1517" s="12"/>
      <c r="M1517" s="11"/>
      <c r="N1517" s="11"/>
      <c r="O1517" s="11"/>
      <c r="P1517" s="11"/>
    </row>
    <row r="1518" spans="7:16" x14ac:dyDescent="0.25">
      <c r="G1518" s="698"/>
      <c r="H1518" s="12"/>
      <c r="I1518" s="12"/>
      <c r="J1518" s="12"/>
      <c r="K1518" s="12"/>
      <c r="L1518" s="12"/>
      <c r="M1518" s="11"/>
      <c r="N1518" s="11"/>
      <c r="O1518" s="11"/>
      <c r="P1518" s="11"/>
    </row>
    <row r="1519" spans="7:16" x14ac:dyDescent="0.25">
      <c r="G1519" s="698"/>
      <c r="H1519" s="12"/>
      <c r="I1519" s="12"/>
      <c r="J1519" s="12"/>
      <c r="K1519" s="12"/>
      <c r="L1519" s="12"/>
      <c r="M1519" s="11"/>
      <c r="N1519" s="11"/>
      <c r="O1519" s="11"/>
      <c r="P1519" s="11"/>
    </row>
    <row r="1520" spans="7:16" x14ac:dyDescent="0.25">
      <c r="G1520" s="698"/>
      <c r="H1520" s="12"/>
      <c r="I1520" s="12"/>
      <c r="J1520" s="12"/>
      <c r="K1520" s="12"/>
      <c r="L1520" s="12"/>
      <c r="M1520" s="11"/>
      <c r="N1520" s="11"/>
      <c r="O1520" s="11"/>
      <c r="P1520" s="11"/>
    </row>
    <row r="1521" spans="7:16" x14ac:dyDescent="0.25">
      <c r="G1521" s="698"/>
      <c r="H1521" s="12"/>
      <c r="I1521" s="12"/>
      <c r="J1521" s="12"/>
      <c r="K1521" s="12"/>
      <c r="L1521" s="12"/>
      <c r="M1521" s="11"/>
      <c r="N1521" s="11"/>
      <c r="O1521" s="11"/>
      <c r="P1521" s="11"/>
    </row>
    <row r="1522" spans="7:16" x14ac:dyDescent="0.25">
      <c r="G1522" s="698"/>
      <c r="H1522" s="12"/>
      <c r="I1522" s="12"/>
      <c r="J1522" s="12"/>
      <c r="K1522" s="12"/>
      <c r="L1522" s="12"/>
      <c r="M1522" s="11"/>
      <c r="N1522" s="11"/>
      <c r="O1522" s="11"/>
      <c r="P1522" s="11"/>
    </row>
    <row r="1523" spans="7:16" x14ac:dyDescent="0.25">
      <c r="G1523" s="698"/>
      <c r="H1523" s="12"/>
      <c r="I1523" s="12"/>
      <c r="J1523" s="12"/>
      <c r="K1523" s="12"/>
      <c r="L1523" s="12"/>
      <c r="M1523" s="11"/>
      <c r="N1523" s="11"/>
      <c r="O1523" s="11"/>
      <c r="P1523" s="11"/>
    </row>
    <row r="1524" spans="7:16" x14ac:dyDescent="0.25">
      <c r="G1524" s="698"/>
      <c r="H1524" s="12"/>
      <c r="I1524" s="12"/>
      <c r="J1524" s="12"/>
      <c r="K1524" s="12"/>
      <c r="L1524" s="12"/>
      <c r="M1524" s="11"/>
      <c r="N1524" s="11"/>
      <c r="O1524" s="11"/>
      <c r="P1524" s="11"/>
    </row>
    <row r="1525" spans="7:16" x14ac:dyDescent="0.25">
      <c r="G1525" s="698"/>
      <c r="H1525" s="12"/>
      <c r="I1525" s="12"/>
      <c r="J1525" s="12"/>
      <c r="K1525" s="12"/>
      <c r="L1525" s="12"/>
      <c r="M1525" s="11"/>
      <c r="N1525" s="11"/>
      <c r="O1525" s="11"/>
      <c r="P1525" s="11"/>
    </row>
    <row r="1526" spans="7:16" x14ac:dyDescent="0.25">
      <c r="G1526" s="698"/>
      <c r="H1526" s="12"/>
      <c r="I1526" s="12"/>
      <c r="J1526" s="12"/>
      <c r="K1526" s="12"/>
      <c r="L1526" s="12"/>
      <c r="M1526" s="11"/>
      <c r="N1526" s="11"/>
      <c r="O1526" s="11"/>
      <c r="P1526" s="11"/>
    </row>
    <row r="1527" spans="7:16" x14ac:dyDescent="0.25">
      <c r="G1527" s="698"/>
      <c r="H1527" s="12"/>
      <c r="I1527" s="12"/>
      <c r="J1527" s="12"/>
      <c r="K1527" s="12"/>
      <c r="L1527" s="12"/>
      <c r="M1527" s="11"/>
      <c r="N1527" s="11"/>
      <c r="O1527" s="11"/>
      <c r="P1527" s="11"/>
    </row>
    <row r="1528" spans="7:16" x14ac:dyDescent="0.25">
      <c r="G1528" s="698"/>
      <c r="H1528" s="12"/>
      <c r="I1528" s="12"/>
      <c r="J1528" s="12"/>
      <c r="K1528" s="12"/>
      <c r="L1528" s="12"/>
      <c r="M1528" s="11"/>
      <c r="N1528" s="11"/>
      <c r="O1528" s="11"/>
      <c r="P1528" s="11"/>
    </row>
    <row r="1529" spans="7:16" x14ac:dyDescent="0.25">
      <c r="G1529" s="698"/>
      <c r="H1529" s="12"/>
      <c r="I1529" s="12"/>
      <c r="J1529" s="12"/>
      <c r="K1529" s="12"/>
      <c r="L1529" s="12"/>
      <c r="M1529" s="11"/>
      <c r="N1529" s="11"/>
      <c r="O1529" s="11"/>
      <c r="P1529" s="11"/>
    </row>
    <row r="1530" spans="7:16" x14ac:dyDescent="0.25">
      <c r="G1530" s="698"/>
      <c r="H1530" s="12"/>
      <c r="I1530" s="12"/>
      <c r="J1530" s="12"/>
      <c r="K1530" s="12"/>
      <c r="L1530" s="12"/>
      <c r="M1530" s="11"/>
      <c r="N1530" s="11"/>
      <c r="O1530" s="11"/>
      <c r="P1530" s="11"/>
    </row>
    <row r="1531" spans="7:16" x14ac:dyDescent="0.25">
      <c r="G1531" s="698"/>
      <c r="H1531" s="12"/>
      <c r="I1531" s="12"/>
      <c r="J1531" s="12"/>
      <c r="K1531" s="12"/>
      <c r="L1531" s="12"/>
      <c r="M1531" s="11"/>
      <c r="N1531" s="11"/>
      <c r="O1531" s="11"/>
      <c r="P1531" s="11"/>
    </row>
    <row r="1532" spans="7:16" x14ac:dyDescent="0.25">
      <c r="G1532" s="698"/>
      <c r="H1532" s="12"/>
      <c r="I1532" s="12"/>
      <c r="J1532" s="12"/>
      <c r="K1532" s="12"/>
      <c r="L1532" s="12"/>
      <c r="M1532" s="11"/>
      <c r="N1532" s="11"/>
      <c r="O1532" s="11"/>
      <c r="P1532" s="11"/>
    </row>
    <row r="1533" spans="7:16" x14ac:dyDescent="0.25">
      <c r="G1533" s="698"/>
      <c r="H1533" s="12"/>
      <c r="I1533" s="12"/>
      <c r="J1533" s="12"/>
      <c r="K1533" s="12"/>
      <c r="L1533" s="12"/>
      <c r="M1533" s="11"/>
      <c r="N1533" s="11"/>
      <c r="O1533" s="11"/>
      <c r="P1533" s="11"/>
    </row>
    <row r="1534" spans="7:16" x14ac:dyDescent="0.25">
      <c r="G1534" s="698"/>
      <c r="H1534" s="12"/>
      <c r="I1534" s="12"/>
      <c r="J1534" s="12"/>
      <c r="K1534" s="12"/>
      <c r="L1534" s="12"/>
      <c r="M1534" s="11"/>
      <c r="N1534" s="11"/>
      <c r="O1534" s="11"/>
      <c r="P1534" s="11"/>
    </row>
    <row r="1535" spans="7:16" x14ac:dyDescent="0.25">
      <c r="G1535" s="698"/>
      <c r="H1535" s="12"/>
      <c r="I1535" s="12"/>
      <c r="J1535" s="12"/>
      <c r="K1535" s="12"/>
      <c r="L1535" s="12"/>
      <c r="M1535" s="11"/>
      <c r="N1535" s="11"/>
      <c r="O1535" s="11"/>
      <c r="P1535" s="11"/>
    </row>
    <row r="1536" spans="7:16" x14ac:dyDescent="0.25">
      <c r="G1536" s="698"/>
      <c r="H1536" s="12"/>
      <c r="I1536" s="12"/>
      <c r="J1536" s="12"/>
      <c r="K1536" s="12"/>
      <c r="L1536" s="12"/>
      <c r="M1536" s="11"/>
      <c r="N1536" s="11"/>
      <c r="O1536" s="11"/>
      <c r="P1536" s="11"/>
    </row>
    <row r="1537" spans="7:16" x14ac:dyDescent="0.25">
      <c r="G1537" s="698"/>
      <c r="H1537" s="12"/>
      <c r="I1537" s="12"/>
      <c r="J1537" s="12"/>
      <c r="K1537" s="12"/>
      <c r="L1537" s="12"/>
      <c r="M1537" s="11"/>
      <c r="N1537" s="11"/>
      <c r="O1537" s="11"/>
      <c r="P1537" s="11"/>
    </row>
    <row r="1538" spans="7:16" x14ac:dyDescent="0.25">
      <c r="G1538" s="698"/>
      <c r="H1538" s="12"/>
      <c r="I1538" s="12"/>
      <c r="J1538" s="12"/>
      <c r="K1538" s="12"/>
      <c r="L1538" s="12"/>
      <c r="M1538" s="11"/>
      <c r="N1538" s="11"/>
      <c r="O1538" s="11"/>
      <c r="P1538" s="11"/>
    </row>
    <row r="1539" spans="7:16" x14ac:dyDescent="0.25">
      <c r="G1539" s="698"/>
      <c r="H1539" s="12"/>
      <c r="I1539" s="12"/>
      <c r="J1539" s="12"/>
      <c r="K1539" s="12"/>
      <c r="L1539" s="12"/>
      <c r="M1539" s="11"/>
      <c r="N1539" s="11"/>
      <c r="O1539" s="11"/>
      <c r="P1539" s="11"/>
    </row>
    <row r="1540" spans="7:16" x14ac:dyDescent="0.25">
      <c r="G1540" s="698"/>
      <c r="H1540" s="12"/>
      <c r="I1540" s="12"/>
      <c r="J1540" s="12"/>
      <c r="K1540" s="12"/>
      <c r="L1540" s="12"/>
      <c r="M1540" s="11"/>
      <c r="N1540" s="11"/>
      <c r="O1540" s="11"/>
      <c r="P1540" s="11"/>
    </row>
    <row r="1541" spans="7:16" x14ac:dyDescent="0.25">
      <c r="G1541" s="698"/>
      <c r="H1541" s="12"/>
      <c r="I1541" s="12"/>
      <c r="J1541" s="12"/>
      <c r="K1541" s="12"/>
      <c r="L1541" s="12"/>
      <c r="M1541" s="11"/>
      <c r="N1541" s="11"/>
      <c r="O1541" s="11"/>
      <c r="P1541" s="11"/>
    </row>
    <row r="1542" spans="7:16" x14ac:dyDescent="0.25">
      <c r="G1542" s="698"/>
      <c r="H1542" s="12"/>
      <c r="I1542" s="12"/>
      <c r="J1542" s="12"/>
      <c r="K1542" s="12"/>
      <c r="L1542" s="12"/>
      <c r="M1542" s="11"/>
      <c r="N1542" s="11"/>
      <c r="O1542" s="11"/>
      <c r="P1542" s="11"/>
    </row>
    <row r="1543" spans="7:16" x14ac:dyDescent="0.25">
      <c r="G1543" s="698"/>
      <c r="H1543" s="12"/>
      <c r="I1543" s="12"/>
      <c r="J1543" s="12"/>
      <c r="K1543" s="12"/>
      <c r="L1543" s="12"/>
      <c r="M1543" s="11"/>
      <c r="N1543" s="11"/>
      <c r="O1543" s="11"/>
      <c r="P1543" s="11"/>
    </row>
    <row r="1544" spans="7:16" x14ac:dyDescent="0.25">
      <c r="G1544" s="698"/>
      <c r="H1544" s="12"/>
      <c r="I1544" s="12"/>
      <c r="J1544" s="12"/>
      <c r="K1544" s="12"/>
      <c r="L1544" s="12"/>
      <c r="M1544" s="11"/>
      <c r="N1544" s="11"/>
      <c r="O1544" s="11"/>
      <c r="P1544" s="11"/>
    </row>
    <row r="1545" spans="7:16" x14ac:dyDescent="0.25">
      <c r="G1545" s="698"/>
      <c r="H1545" s="12"/>
      <c r="I1545" s="12"/>
      <c r="J1545" s="12"/>
      <c r="K1545" s="12"/>
      <c r="L1545" s="12"/>
      <c r="M1545" s="11"/>
      <c r="N1545" s="11"/>
      <c r="O1545" s="11"/>
      <c r="P1545" s="11"/>
    </row>
    <row r="1546" spans="7:16" x14ac:dyDescent="0.25">
      <c r="G1546" s="698"/>
      <c r="H1546" s="12"/>
      <c r="I1546" s="12"/>
      <c r="J1546" s="12"/>
      <c r="K1546" s="12"/>
      <c r="L1546" s="12"/>
      <c r="M1546" s="11"/>
      <c r="N1546" s="11"/>
      <c r="O1546" s="11"/>
      <c r="P1546" s="11"/>
    </row>
    <row r="1547" spans="7:16" x14ac:dyDescent="0.25">
      <c r="G1547" s="698"/>
      <c r="H1547" s="12"/>
      <c r="I1547" s="12"/>
      <c r="J1547" s="12"/>
      <c r="K1547" s="12"/>
      <c r="L1547" s="12"/>
      <c r="M1547" s="11"/>
      <c r="N1547" s="11"/>
      <c r="O1547" s="11"/>
      <c r="P1547" s="11"/>
    </row>
    <row r="1548" spans="7:16" x14ac:dyDescent="0.25">
      <c r="G1548" s="698"/>
      <c r="H1548" s="12"/>
      <c r="I1548" s="12"/>
      <c r="J1548" s="12"/>
      <c r="K1548" s="12"/>
      <c r="L1548" s="12"/>
      <c r="M1548" s="11"/>
      <c r="N1548" s="11"/>
      <c r="O1548" s="11"/>
      <c r="P1548" s="11"/>
    </row>
    <row r="1549" spans="7:16" x14ac:dyDescent="0.25">
      <c r="G1549" s="698"/>
      <c r="H1549" s="12"/>
      <c r="I1549" s="12"/>
      <c r="J1549" s="12"/>
      <c r="K1549" s="12"/>
      <c r="L1549" s="12"/>
      <c r="M1549" s="11"/>
      <c r="N1549" s="11"/>
      <c r="O1549" s="11"/>
      <c r="P1549" s="11"/>
    </row>
    <row r="1550" spans="7:16" x14ac:dyDescent="0.25">
      <c r="G1550" s="698"/>
      <c r="H1550" s="12"/>
      <c r="I1550" s="12"/>
      <c r="J1550" s="12"/>
      <c r="K1550" s="12"/>
      <c r="L1550" s="12"/>
      <c r="M1550" s="11"/>
      <c r="N1550" s="11"/>
      <c r="O1550" s="11"/>
      <c r="P1550" s="11"/>
    </row>
    <row r="1551" spans="7:16" x14ac:dyDescent="0.25">
      <c r="G1551" s="698"/>
      <c r="H1551" s="12"/>
      <c r="I1551" s="12"/>
      <c r="J1551" s="12"/>
      <c r="K1551" s="12"/>
      <c r="L1551" s="12"/>
      <c r="M1551" s="11"/>
      <c r="N1551" s="11"/>
      <c r="O1551" s="11"/>
      <c r="P1551" s="11"/>
    </row>
    <row r="1552" spans="7:16" x14ac:dyDescent="0.25">
      <c r="G1552" s="698"/>
      <c r="H1552" s="12"/>
      <c r="I1552" s="12"/>
      <c r="J1552" s="12"/>
      <c r="K1552" s="12"/>
      <c r="L1552" s="12"/>
      <c r="M1552" s="11"/>
      <c r="N1552" s="11"/>
      <c r="O1552" s="11"/>
      <c r="P1552" s="11"/>
    </row>
    <row r="1553" spans="7:16" x14ac:dyDescent="0.25">
      <c r="G1553" s="698"/>
      <c r="H1553" s="12"/>
      <c r="I1553" s="12"/>
      <c r="J1553" s="12"/>
      <c r="K1553" s="12"/>
      <c r="L1553" s="12"/>
      <c r="M1553" s="11"/>
      <c r="N1553" s="11"/>
      <c r="O1553" s="11"/>
      <c r="P1553" s="11"/>
    </row>
    <row r="1554" spans="7:16" x14ac:dyDescent="0.25">
      <c r="G1554" s="698"/>
      <c r="H1554" s="12"/>
      <c r="I1554" s="12"/>
      <c r="J1554" s="12"/>
      <c r="K1554" s="12"/>
      <c r="L1554" s="12"/>
      <c r="M1554" s="11"/>
      <c r="N1554" s="11"/>
      <c r="O1554" s="11"/>
      <c r="P1554" s="11"/>
    </row>
    <row r="1555" spans="7:16" x14ac:dyDescent="0.25">
      <c r="G1555" s="698"/>
      <c r="H1555" s="12"/>
      <c r="I1555" s="12"/>
      <c r="J1555" s="12"/>
      <c r="K1555" s="12"/>
      <c r="L1555" s="12"/>
      <c r="M1555" s="11"/>
      <c r="N1555" s="11"/>
      <c r="O1555" s="11"/>
      <c r="P1555" s="11"/>
    </row>
    <row r="1556" spans="7:16" x14ac:dyDescent="0.25">
      <c r="G1556" s="698"/>
      <c r="H1556" s="12"/>
      <c r="I1556" s="12"/>
      <c r="J1556" s="12"/>
      <c r="K1556" s="12"/>
      <c r="L1556" s="12"/>
      <c r="M1556" s="11"/>
      <c r="N1556" s="11"/>
      <c r="O1556" s="11"/>
      <c r="P1556" s="11"/>
    </row>
    <row r="1557" spans="7:16" x14ac:dyDescent="0.25">
      <c r="G1557" s="698"/>
      <c r="H1557" s="12"/>
      <c r="I1557" s="12"/>
      <c r="J1557" s="12"/>
      <c r="K1557" s="12"/>
      <c r="L1557" s="12"/>
      <c r="M1557" s="11"/>
      <c r="N1557" s="11"/>
      <c r="O1557" s="11"/>
      <c r="P1557" s="11"/>
    </row>
    <row r="1558" spans="7:16" x14ac:dyDescent="0.25">
      <c r="G1558" s="698"/>
      <c r="H1558" s="12"/>
      <c r="I1558" s="12"/>
      <c r="J1558" s="12"/>
      <c r="K1558" s="12"/>
      <c r="L1558" s="12"/>
      <c r="M1558" s="11"/>
      <c r="N1558" s="11"/>
      <c r="O1558" s="11"/>
      <c r="P1558" s="11"/>
    </row>
    <row r="1559" spans="7:16" x14ac:dyDescent="0.25">
      <c r="G1559" s="698"/>
      <c r="H1559" s="12"/>
      <c r="I1559" s="12"/>
      <c r="J1559" s="12"/>
      <c r="K1559" s="12"/>
      <c r="L1559" s="12"/>
      <c r="M1559" s="11"/>
      <c r="N1559" s="11"/>
      <c r="O1559" s="11"/>
      <c r="P1559" s="11"/>
    </row>
    <row r="1560" spans="7:16" x14ac:dyDescent="0.25">
      <c r="G1560" s="698"/>
      <c r="H1560" s="12"/>
      <c r="I1560" s="12"/>
      <c r="J1560" s="12"/>
      <c r="K1560" s="12"/>
      <c r="L1560" s="12"/>
      <c r="M1560" s="11"/>
      <c r="N1560" s="11"/>
      <c r="O1560" s="11"/>
      <c r="P1560" s="11"/>
    </row>
    <row r="1561" spans="7:16" x14ac:dyDescent="0.25">
      <c r="G1561" s="698"/>
      <c r="H1561" s="12"/>
      <c r="I1561" s="12"/>
      <c r="J1561" s="12"/>
      <c r="K1561" s="12"/>
      <c r="L1561" s="12"/>
      <c r="M1561" s="11"/>
      <c r="N1561" s="11"/>
      <c r="O1561" s="11"/>
      <c r="P1561" s="11"/>
    </row>
    <row r="1562" spans="7:16" x14ac:dyDescent="0.25">
      <c r="G1562" s="698"/>
      <c r="H1562" s="12"/>
      <c r="I1562" s="12"/>
      <c r="J1562" s="12"/>
      <c r="K1562" s="12"/>
      <c r="L1562" s="12"/>
      <c r="M1562" s="11"/>
      <c r="N1562" s="11"/>
      <c r="O1562" s="11"/>
      <c r="P1562" s="11"/>
    </row>
    <row r="1563" spans="7:16" x14ac:dyDescent="0.25">
      <c r="G1563" s="698"/>
      <c r="H1563" s="12"/>
      <c r="I1563" s="12"/>
      <c r="J1563" s="12"/>
      <c r="K1563" s="12"/>
      <c r="L1563" s="12"/>
      <c r="M1563" s="11"/>
      <c r="N1563" s="11"/>
      <c r="O1563" s="11"/>
      <c r="P1563" s="11"/>
    </row>
    <row r="1564" spans="7:16" x14ac:dyDescent="0.25">
      <c r="G1564" s="698"/>
      <c r="H1564" s="12"/>
      <c r="I1564" s="12"/>
      <c r="J1564" s="12"/>
      <c r="K1564" s="12"/>
      <c r="L1564" s="12"/>
      <c r="M1564" s="11"/>
      <c r="N1564" s="11"/>
      <c r="O1564" s="11"/>
      <c r="P1564" s="11"/>
    </row>
    <row r="1565" spans="7:16" x14ac:dyDescent="0.25">
      <c r="G1565" s="698"/>
      <c r="H1565" s="12"/>
      <c r="I1565" s="12"/>
      <c r="J1565" s="12"/>
      <c r="K1565" s="12"/>
      <c r="L1565" s="12"/>
      <c r="M1565" s="11"/>
      <c r="N1565" s="11"/>
      <c r="O1565" s="11"/>
      <c r="P1565" s="11"/>
    </row>
    <row r="1566" spans="7:16" x14ac:dyDescent="0.25">
      <c r="G1566" s="698"/>
      <c r="H1566" s="12"/>
      <c r="I1566" s="12"/>
      <c r="J1566" s="12"/>
      <c r="K1566" s="12"/>
      <c r="L1566" s="12"/>
      <c r="M1566" s="11"/>
      <c r="N1566" s="11"/>
      <c r="O1566" s="11"/>
      <c r="P1566" s="11"/>
    </row>
    <row r="1567" spans="7:16" x14ac:dyDescent="0.25">
      <c r="G1567" s="698"/>
      <c r="H1567" s="12"/>
      <c r="I1567" s="12"/>
      <c r="J1567" s="12"/>
      <c r="K1567" s="12"/>
      <c r="L1567" s="12"/>
      <c r="M1567" s="11"/>
      <c r="N1567" s="11"/>
      <c r="O1567" s="11"/>
      <c r="P1567" s="11"/>
    </row>
    <row r="1568" spans="7:16" x14ac:dyDescent="0.25">
      <c r="G1568" s="698"/>
      <c r="H1568" s="12"/>
      <c r="I1568" s="12"/>
      <c r="J1568" s="12"/>
      <c r="K1568" s="12"/>
      <c r="L1568" s="12"/>
      <c r="M1568" s="11"/>
      <c r="N1568" s="11"/>
      <c r="O1568" s="11"/>
      <c r="P1568" s="11"/>
    </row>
    <row r="1569" spans="7:16" x14ac:dyDescent="0.25">
      <c r="G1569" s="698"/>
      <c r="H1569" s="12"/>
      <c r="I1569" s="12"/>
      <c r="J1569" s="12"/>
      <c r="K1569" s="12"/>
      <c r="L1569" s="12"/>
      <c r="M1569" s="11"/>
      <c r="N1569" s="11"/>
      <c r="O1569" s="11"/>
      <c r="P1569" s="11"/>
    </row>
    <row r="1570" spans="7:16" x14ac:dyDescent="0.25">
      <c r="G1570" s="698"/>
      <c r="H1570" s="12"/>
      <c r="I1570" s="12"/>
      <c r="J1570" s="12"/>
      <c r="K1570" s="12"/>
      <c r="L1570" s="12"/>
      <c r="M1570" s="11"/>
      <c r="N1570" s="11"/>
      <c r="O1570" s="11"/>
      <c r="P1570" s="11"/>
    </row>
    <row r="1571" spans="7:16" x14ac:dyDescent="0.25">
      <c r="G1571" s="698"/>
      <c r="H1571" s="12"/>
      <c r="I1571" s="12"/>
      <c r="J1571" s="12"/>
      <c r="K1571" s="12"/>
      <c r="L1571" s="12"/>
      <c r="M1571" s="11"/>
      <c r="N1571" s="11"/>
      <c r="O1571" s="11"/>
      <c r="P1571" s="11"/>
    </row>
    <row r="1572" spans="7:16" x14ac:dyDescent="0.25">
      <c r="G1572" s="698"/>
      <c r="H1572" s="12"/>
      <c r="I1572" s="12"/>
      <c r="J1572" s="12"/>
      <c r="K1572" s="12"/>
      <c r="L1572" s="12"/>
      <c r="M1572" s="11"/>
      <c r="N1572" s="11"/>
      <c r="O1572" s="11"/>
      <c r="P1572" s="11"/>
    </row>
    <row r="1573" spans="7:16" x14ac:dyDescent="0.25">
      <c r="G1573" s="698"/>
      <c r="H1573" s="12"/>
      <c r="I1573" s="12"/>
      <c r="J1573" s="12"/>
      <c r="K1573" s="12"/>
      <c r="L1573" s="12"/>
      <c r="M1573" s="11"/>
      <c r="N1573" s="11"/>
      <c r="O1573" s="11"/>
      <c r="P1573" s="11"/>
    </row>
    <row r="1574" spans="7:16" x14ac:dyDescent="0.25">
      <c r="G1574" s="698"/>
      <c r="H1574" s="12"/>
      <c r="I1574" s="12"/>
      <c r="J1574" s="12"/>
      <c r="K1574" s="12"/>
      <c r="L1574" s="12"/>
      <c r="M1574" s="11"/>
      <c r="N1574" s="11"/>
      <c r="O1574" s="11"/>
      <c r="P1574" s="11"/>
    </row>
    <row r="1575" spans="7:16" x14ac:dyDescent="0.25">
      <c r="G1575" s="698"/>
      <c r="H1575" s="12"/>
      <c r="I1575" s="12"/>
      <c r="J1575" s="12"/>
      <c r="K1575" s="12"/>
      <c r="L1575" s="12"/>
      <c r="M1575" s="11"/>
      <c r="N1575" s="11"/>
      <c r="O1575" s="11"/>
      <c r="P1575" s="11"/>
    </row>
    <row r="1576" spans="7:16" x14ac:dyDescent="0.25">
      <c r="G1576" s="698"/>
      <c r="H1576" s="12"/>
      <c r="I1576" s="12"/>
      <c r="J1576" s="12"/>
      <c r="K1576" s="12"/>
      <c r="L1576" s="12"/>
      <c r="M1576" s="11"/>
      <c r="N1576" s="11"/>
      <c r="O1576" s="11"/>
      <c r="P1576" s="11"/>
    </row>
    <row r="1577" spans="7:16" x14ac:dyDescent="0.25">
      <c r="G1577" s="698"/>
      <c r="H1577" s="12"/>
      <c r="I1577" s="12"/>
      <c r="J1577" s="12"/>
      <c r="K1577" s="12"/>
      <c r="L1577" s="12"/>
      <c r="M1577" s="11"/>
      <c r="N1577" s="11"/>
      <c r="O1577" s="11"/>
      <c r="P1577" s="11"/>
    </row>
    <row r="1578" spans="7:16" x14ac:dyDescent="0.25">
      <c r="G1578" s="698"/>
      <c r="H1578" s="12"/>
      <c r="I1578" s="12"/>
      <c r="J1578" s="12"/>
      <c r="K1578" s="12"/>
      <c r="L1578" s="12"/>
      <c r="M1578" s="11"/>
      <c r="N1578" s="11"/>
      <c r="O1578" s="11"/>
      <c r="P1578" s="11"/>
    </row>
    <row r="1579" spans="7:16" x14ac:dyDescent="0.25">
      <c r="G1579" s="698"/>
      <c r="H1579" s="12"/>
      <c r="I1579" s="12"/>
      <c r="J1579" s="12"/>
      <c r="K1579" s="12"/>
      <c r="L1579" s="12"/>
      <c r="M1579" s="11"/>
      <c r="N1579" s="11"/>
      <c r="O1579" s="11"/>
      <c r="P1579" s="11"/>
    </row>
    <row r="1580" spans="7:16" x14ac:dyDescent="0.25">
      <c r="G1580" s="698"/>
      <c r="H1580" s="12"/>
      <c r="I1580" s="12"/>
      <c r="J1580" s="12"/>
      <c r="K1580" s="12"/>
      <c r="L1580" s="12"/>
      <c r="M1580" s="11"/>
      <c r="N1580" s="11"/>
      <c r="O1580" s="11"/>
      <c r="P1580" s="11"/>
    </row>
    <row r="1581" spans="7:16" x14ac:dyDescent="0.25">
      <c r="G1581" s="698"/>
      <c r="H1581" s="12"/>
      <c r="I1581" s="12"/>
      <c r="J1581" s="12"/>
      <c r="K1581" s="12"/>
      <c r="L1581" s="12"/>
      <c r="M1581" s="11"/>
      <c r="N1581" s="11"/>
      <c r="O1581" s="11"/>
      <c r="P1581" s="11"/>
    </row>
    <row r="1582" spans="7:16" x14ac:dyDescent="0.25">
      <c r="G1582" s="698"/>
      <c r="H1582" s="12"/>
      <c r="I1582" s="12"/>
      <c r="J1582" s="12"/>
      <c r="K1582" s="12"/>
      <c r="L1582" s="12"/>
      <c r="M1582" s="11"/>
      <c r="N1582" s="11"/>
      <c r="O1582" s="11"/>
      <c r="P1582" s="11"/>
    </row>
    <row r="1583" spans="7:16" x14ac:dyDescent="0.25">
      <c r="G1583" s="698"/>
      <c r="H1583" s="12"/>
      <c r="I1583" s="12"/>
      <c r="J1583" s="12"/>
      <c r="K1583" s="12"/>
      <c r="L1583" s="12"/>
      <c r="M1583" s="11"/>
      <c r="N1583" s="11"/>
      <c r="O1583" s="11"/>
      <c r="P1583" s="11"/>
    </row>
    <row r="1584" spans="7:16" x14ac:dyDescent="0.25">
      <c r="G1584" s="698"/>
      <c r="H1584" s="12"/>
      <c r="I1584" s="12"/>
      <c r="J1584" s="12"/>
      <c r="K1584" s="12"/>
      <c r="L1584" s="12"/>
      <c r="M1584" s="11"/>
      <c r="N1584" s="11"/>
      <c r="O1584" s="11"/>
      <c r="P1584" s="11"/>
    </row>
    <row r="1585" spans="7:16" x14ac:dyDescent="0.25">
      <c r="G1585" s="698"/>
      <c r="H1585" s="12"/>
      <c r="I1585" s="12"/>
      <c r="J1585" s="12"/>
      <c r="K1585" s="12"/>
      <c r="L1585" s="12"/>
      <c r="M1585" s="11"/>
      <c r="N1585" s="11"/>
      <c r="O1585" s="11"/>
      <c r="P1585" s="11"/>
    </row>
    <row r="1586" spans="7:16" x14ac:dyDescent="0.25">
      <c r="G1586" s="698"/>
      <c r="H1586" s="12"/>
      <c r="I1586" s="12"/>
      <c r="J1586" s="12"/>
      <c r="K1586" s="12"/>
      <c r="L1586" s="12"/>
      <c r="M1586" s="11"/>
      <c r="N1586" s="11"/>
      <c r="O1586" s="11"/>
      <c r="P1586" s="11"/>
    </row>
    <row r="1587" spans="7:16" x14ac:dyDescent="0.25">
      <c r="G1587" s="698"/>
      <c r="H1587" s="12"/>
      <c r="I1587" s="12"/>
      <c r="J1587" s="12"/>
      <c r="K1587" s="12"/>
      <c r="L1587" s="12"/>
      <c r="M1587" s="11"/>
      <c r="N1587" s="11"/>
      <c r="O1587" s="11"/>
      <c r="P1587" s="11"/>
    </row>
    <row r="1588" spans="7:16" x14ac:dyDescent="0.25">
      <c r="G1588" s="698"/>
      <c r="H1588" s="12"/>
      <c r="I1588" s="12"/>
      <c r="J1588" s="12"/>
      <c r="K1588" s="12"/>
      <c r="L1588" s="12"/>
      <c r="M1588" s="11"/>
      <c r="N1588" s="11"/>
      <c r="O1588" s="11"/>
      <c r="P1588" s="11"/>
    </row>
    <row r="1589" spans="7:16" x14ac:dyDescent="0.25">
      <c r="G1589" s="698"/>
      <c r="H1589" s="12"/>
      <c r="I1589" s="12"/>
      <c r="J1589" s="12"/>
      <c r="K1589" s="12"/>
      <c r="L1589" s="12"/>
      <c r="M1589" s="11"/>
      <c r="N1589" s="11"/>
      <c r="O1589" s="11"/>
      <c r="P1589" s="11"/>
    </row>
    <row r="1590" spans="7:16" x14ac:dyDescent="0.25">
      <c r="G1590" s="698"/>
      <c r="H1590" s="12"/>
      <c r="I1590" s="12"/>
      <c r="J1590" s="12"/>
      <c r="K1590" s="12"/>
      <c r="L1590" s="12"/>
      <c r="M1590" s="11"/>
      <c r="N1590" s="11"/>
      <c r="O1590" s="11"/>
      <c r="P1590" s="11"/>
    </row>
    <row r="1591" spans="7:16" x14ac:dyDescent="0.25">
      <c r="G1591" s="698"/>
      <c r="H1591" s="12"/>
      <c r="I1591" s="12"/>
      <c r="J1591" s="12"/>
      <c r="K1591" s="12"/>
      <c r="L1591" s="12"/>
      <c r="M1591" s="11"/>
      <c r="N1591" s="11"/>
      <c r="O1591" s="11"/>
      <c r="P1591" s="11"/>
    </row>
    <row r="1592" spans="7:16" x14ac:dyDescent="0.25">
      <c r="G1592" s="698"/>
      <c r="H1592" s="12"/>
      <c r="I1592" s="12"/>
      <c r="J1592" s="12"/>
      <c r="K1592" s="12"/>
      <c r="L1592" s="12"/>
      <c r="M1592" s="11"/>
      <c r="N1592" s="11"/>
      <c r="O1592" s="11"/>
      <c r="P1592" s="11"/>
    </row>
    <row r="1593" spans="7:16" x14ac:dyDescent="0.25">
      <c r="G1593" s="698"/>
      <c r="H1593" s="12"/>
      <c r="I1593" s="12"/>
      <c r="J1593" s="12"/>
      <c r="K1593" s="12"/>
      <c r="L1593" s="12"/>
      <c r="M1593" s="11"/>
      <c r="N1593" s="11"/>
      <c r="O1593" s="11"/>
      <c r="P1593" s="11"/>
    </row>
    <row r="1594" spans="7:16" x14ac:dyDescent="0.25">
      <c r="G1594" s="698"/>
      <c r="H1594" s="12"/>
      <c r="I1594" s="12"/>
      <c r="J1594" s="12"/>
      <c r="K1594" s="12"/>
      <c r="L1594" s="12"/>
      <c r="M1594" s="11"/>
      <c r="N1594" s="11"/>
      <c r="O1594" s="11"/>
      <c r="P1594" s="11"/>
    </row>
    <row r="1595" spans="7:16" x14ac:dyDescent="0.25">
      <c r="G1595" s="698"/>
      <c r="H1595" s="12"/>
      <c r="I1595" s="12"/>
      <c r="J1595" s="12"/>
      <c r="K1595" s="12"/>
      <c r="L1595" s="12"/>
      <c r="M1595" s="11"/>
      <c r="N1595" s="11"/>
      <c r="O1595" s="11"/>
      <c r="P1595" s="11"/>
    </row>
    <row r="1596" spans="7:16" x14ac:dyDescent="0.25">
      <c r="G1596" s="698"/>
      <c r="H1596" s="12"/>
      <c r="I1596" s="12"/>
      <c r="J1596" s="12"/>
      <c r="K1596" s="12"/>
      <c r="L1596" s="12"/>
      <c r="M1596" s="11"/>
      <c r="N1596" s="11"/>
      <c r="O1596" s="11"/>
      <c r="P1596" s="11"/>
    </row>
    <row r="1597" spans="7:16" x14ac:dyDescent="0.25">
      <c r="G1597" s="698"/>
      <c r="H1597" s="12"/>
      <c r="I1597" s="12"/>
      <c r="J1597" s="12"/>
      <c r="K1597" s="12"/>
      <c r="L1597" s="12"/>
      <c r="M1597" s="11"/>
      <c r="N1597" s="11"/>
      <c r="O1597" s="11"/>
      <c r="P1597" s="11"/>
    </row>
    <row r="1598" spans="7:16" x14ac:dyDescent="0.25">
      <c r="G1598" s="698"/>
      <c r="H1598" s="12"/>
      <c r="I1598" s="12"/>
      <c r="J1598" s="12"/>
      <c r="K1598" s="12"/>
      <c r="L1598" s="12"/>
      <c r="M1598" s="11"/>
      <c r="N1598" s="11"/>
      <c r="O1598" s="11"/>
      <c r="P1598" s="11"/>
    </row>
    <row r="1599" spans="7:16" x14ac:dyDescent="0.25">
      <c r="G1599" s="698"/>
      <c r="H1599" s="12"/>
      <c r="I1599" s="12"/>
      <c r="J1599" s="12"/>
      <c r="K1599" s="12"/>
      <c r="L1599" s="12"/>
      <c r="M1599" s="11"/>
      <c r="N1599" s="11"/>
      <c r="O1599" s="11"/>
      <c r="P1599" s="11"/>
    </row>
    <row r="1600" spans="7:16" x14ac:dyDescent="0.25">
      <c r="G1600" s="698"/>
      <c r="H1600" s="12"/>
      <c r="I1600" s="12"/>
      <c r="J1600" s="12"/>
      <c r="K1600" s="12"/>
      <c r="L1600" s="12"/>
      <c r="M1600" s="11"/>
      <c r="N1600" s="11"/>
      <c r="O1600" s="11"/>
      <c r="P1600" s="11"/>
    </row>
    <row r="1601" spans="7:16" x14ac:dyDescent="0.25">
      <c r="G1601" s="698"/>
      <c r="H1601" s="12"/>
      <c r="I1601" s="12"/>
      <c r="J1601" s="12"/>
      <c r="K1601" s="12"/>
      <c r="L1601" s="12"/>
      <c r="M1601" s="11"/>
      <c r="N1601" s="11"/>
      <c r="O1601" s="11"/>
      <c r="P1601" s="11"/>
    </row>
    <row r="1602" spans="7:16" x14ac:dyDescent="0.25">
      <c r="G1602" s="698"/>
      <c r="H1602" s="12"/>
      <c r="I1602" s="12"/>
      <c r="J1602" s="12"/>
      <c r="K1602" s="12"/>
      <c r="L1602" s="12"/>
      <c r="M1602" s="11"/>
      <c r="N1602" s="11"/>
      <c r="O1602" s="11"/>
      <c r="P1602" s="11"/>
    </row>
    <row r="1603" spans="7:16" x14ac:dyDescent="0.25">
      <c r="G1603" s="698"/>
      <c r="H1603" s="12"/>
      <c r="I1603" s="12"/>
      <c r="J1603" s="12"/>
      <c r="K1603" s="12"/>
      <c r="L1603" s="12"/>
      <c r="M1603" s="11"/>
      <c r="N1603" s="11"/>
      <c r="O1603" s="11"/>
      <c r="P1603" s="11"/>
    </row>
    <row r="1604" spans="7:16" x14ac:dyDescent="0.25">
      <c r="G1604" s="698"/>
      <c r="H1604" s="12"/>
      <c r="I1604" s="12"/>
      <c r="J1604" s="12"/>
      <c r="K1604" s="12"/>
      <c r="L1604" s="12"/>
      <c r="M1604" s="11"/>
      <c r="N1604" s="11"/>
      <c r="O1604" s="11"/>
      <c r="P1604" s="11"/>
    </row>
    <row r="1605" spans="7:16" x14ac:dyDescent="0.25">
      <c r="G1605" s="698"/>
      <c r="H1605" s="12"/>
      <c r="I1605" s="12"/>
      <c r="J1605" s="12"/>
      <c r="K1605" s="12"/>
      <c r="L1605" s="12"/>
      <c r="M1605" s="11"/>
      <c r="N1605" s="11"/>
      <c r="O1605" s="11"/>
      <c r="P1605" s="11"/>
    </row>
    <row r="1606" spans="7:16" x14ac:dyDescent="0.25">
      <c r="G1606" s="698"/>
      <c r="H1606" s="12"/>
      <c r="I1606" s="12"/>
      <c r="J1606" s="12"/>
      <c r="K1606" s="12"/>
      <c r="L1606" s="12"/>
      <c r="M1606" s="11"/>
      <c r="N1606" s="11"/>
      <c r="O1606" s="11"/>
      <c r="P1606" s="11"/>
    </row>
    <row r="1607" spans="7:16" x14ac:dyDescent="0.25">
      <c r="G1607" s="698"/>
      <c r="H1607" s="12"/>
      <c r="I1607" s="12"/>
      <c r="J1607" s="12"/>
      <c r="K1607" s="12"/>
      <c r="L1607" s="12"/>
      <c r="M1607" s="11"/>
      <c r="N1607" s="11"/>
      <c r="O1607" s="11"/>
      <c r="P1607" s="11"/>
    </row>
    <row r="1608" spans="7:16" x14ac:dyDescent="0.25">
      <c r="G1608" s="698"/>
      <c r="H1608" s="12"/>
      <c r="I1608" s="12"/>
      <c r="J1608" s="12"/>
      <c r="K1608" s="12"/>
      <c r="L1608" s="12"/>
      <c r="M1608" s="11"/>
      <c r="N1608" s="11"/>
      <c r="O1608" s="11"/>
      <c r="P1608" s="11"/>
    </row>
    <row r="1609" spans="7:16" x14ac:dyDescent="0.25">
      <c r="G1609" s="698"/>
      <c r="H1609" s="12"/>
      <c r="I1609" s="12"/>
      <c r="J1609" s="12"/>
      <c r="K1609" s="12"/>
      <c r="L1609" s="12"/>
      <c r="M1609" s="11"/>
      <c r="N1609" s="11"/>
      <c r="O1609" s="11"/>
      <c r="P1609" s="11"/>
    </row>
    <row r="1610" spans="7:16" x14ac:dyDescent="0.25">
      <c r="H1610" s="12"/>
      <c r="I1610" s="12"/>
      <c r="J1610" s="12"/>
      <c r="K1610" s="12"/>
      <c r="L1610" s="12"/>
      <c r="M1610" s="11"/>
      <c r="N1610" s="11"/>
      <c r="O1610" s="11"/>
      <c r="P1610" s="11"/>
    </row>
    <row r="1611" spans="7:16" x14ac:dyDescent="0.25">
      <c r="H1611" s="12"/>
      <c r="I1611" s="12"/>
      <c r="J1611" s="12"/>
      <c r="K1611" s="12"/>
      <c r="L1611" s="12"/>
      <c r="M1611" s="11"/>
      <c r="N1611" s="11"/>
      <c r="O1611" s="11"/>
      <c r="P1611" s="11"/>
    </row>
    <row r="1612" spans="7:16" x14ac:dyDescent="0.25">
      <c r="H1612" s="12"/>
      <c r="I1612" s="12"/>
      <c r="J1612" s="12"/>
      <c r="K1612" s="12"/>
      <c r="L1612" s="12"/>
      <c r="M1612" s="11"/>
      <c r="N1612" s="11"/>
      <c r="O1612" s="11"/>
      <c r="P1612" s="11"/>
    </row>
    <row r="1613" spans="7:16" x14ac:dyDescent="0.25">
      <c r="H1613" s="12"/>
      <c r="I1613" s="12"/>
      <c r="J1613" s="12"/>
      <c r="K1613" s="12"/>
      <c r="L1613" s="12"/>
      <c r="M1613" s="11"/>
      <c r="N1613" s="11"/>
      <c r="O1613" s="11"/>
      <c r="P1613" s="11"/>
    </row>
    <row r="1614" spans="7:16" x14ac:dyDescent="0.25">
      <c r="H1614" s="12"/>
      <c r="I1614" s="12"/>
      <c r="J1614" s="12"/>
      <c r="K1614" s="12"/>
      <c r="L1614" s="12"/>
      <c r="M1614" s="11"/>
      <c r="N1614" s="11"/>
      <c r="O1614" s="11"/>
      <c r="P1614" s="11"/>
    </row>
    <row r="1615" spans="7:16" x14ac:dyDescent="0.25">
      <c r="H1615" s="12"/>
      <c r="I1615" s="12"/>
      <c r="J1615" s="12"/>
      <c r="K1615" s="12"/>
      <c r="L1615" s="12"/>
      <c r="M1615" s="11"/>
      <c r="N1615" s="11"/>
      <c r="O1615" s="11"/>
      <c r="P1615" s="11"/>
    </row>
    <row r="1616" spans="7:16" x14ac:dyDescent="0.25">
      <c r="H1616" s="12"/>
      <c r="I1616" s="12"/>
      <c r="J1616" s="12"/>
      <c r="K1616" s="12"/>
      <c r="L1616" s="12"/>
      <c r="M1616" s="11"/>
      <c r="N1616" s="11"/>
      <c r="O1616" s="11"/>
      <c r="P1616" s="11"/>
    </row>
    <row r="1617" spans="8:16" x14ac:dyDescent="0.25">
      <c r="H1617" s="12"/>
      <c r="I1617" s="12"/>
      <c r="J1617" s="12"/>
      <c r="K1617" s="12"/>
      <c r="L1617" s="12"/>
      <c r="M1617" s="11"/>
      <c r="N1617" s="11"/>
      <c r="O1617" s="11"/>
      <c r="P1617" s="11"/>
    </row>
    <row r="1618" spans="8:16" x14ac:dyDescent="0.25">
      <c r="H1618" s="12"/>
      <c r="I1618" s="12"/>
      <c r="J1618" s="12"/>
      <c r="K1618" s="12"/>
      <c r="L1618" s="12"/>
      <c r="M1618" s="11"/>
      <c r="N1618" s="11"/>
      <c r="O1618" s="11"/>
      <c r="P1618" s="11"/>
    </row>
    <row r="1619" spans="8:16" x14ac:dyDescent="0.25">
      <c r="H1619" s="12"/>
      <c r="I1619" s="12"/>
      <c r="J1619" s="12"/>
      <c r="K1619" s="12"/>
      <c r="L1619" s="12"/>
      <c r="M1619" s="11"/>
      <c r="N1619" s="11"/>
      <c r="O1619" s="11"/>
      <c r="P1619" s="11"/>
    </row>
    <row r="1620" spans="8:16" x14ac:dyDescent="0.25">
      <c r="H1620" s="12"/>
      <c r="I1620" s="12"/>
      <c r="J1620" s="12"/>
      <c r="K1620" s="12"/>
      <c r="L1620" s="12"/>
      <c r="M1620" s="11"/>
      <c r="N1620" s="11"/>
      <c r="O1620" s="11"/>
      <c r="P1620" s="11"/>
    </row>
    <row r="1621" spans="8:16" x14ac:dyDescent="0.25">
      <c r="H1621" s="12"/>
      <c r="I1621" s="12"/>
      <c r="J1621" s="12"/>
      <c r="K1621" s="12"/>
      <c r="L1621" s="12"/>
      <c r="M1621" s="11"/>
      <c r="N1621" s="11"/>
      <c r="O1621" s="11"/>
      <c r="P1621" s="11"/>
    </row>
    <row r="1622" spans="8:16" x14ac:dyDescent="0.25">
      <c r="H1622" s="12"/>
      <c r="I1622" s="12"/>
      <c r="J1622" s="12"/>
      <c r="K1622" s="12"/>
      <c r="L1622" s="12"/>
      <c r="M1622" s="11"/>
      <c r="N1622" s="11"/>
      <c r="O1622" s="11"/>
      <c r="P1622" s="11"/>
    </row>
    <row r="1623" spans="8:16" x14ac:dyDescent="0.25">
      <c r="H1623" s="12"/>
      <c r="I1623" s="12"/>
      <c r="J1623" s="12"/>
      <c r="K1623" s="12"/>
      <c r="L1623" s="12"/>
      <c r="M1623" s="11"/>
      <c r="N1623" s="11"/>
      <c r="O1623" s="11"/>
      <c r="P1623" s="11"/>
    </row>
    <row r="1624" spans="8:16" x14ac:dyDescent="0.25">
      <c r="H1624" s="12"/>
      <c r="I1624" s="12"/>
      <c r="J1624" s="12"/>
      <c r="K1624" s="12"/>
      <c r="L1624" s="12"/>
      <c r="M1624" s="11"/>
      <c r="N1624" s="11"/>
      <c r="O1624" s="11"/>
      <c r="P1624" s="11"/>
    </row>
    <row r="1625" spans="8:16" x14ac:dyDescent="0.25">
      <c r="H1625" s="12"/>
      <c r="I1625" s="12"/>
      <c r="J1625" s="12"/>
      <c r="K1625" s="12"/>
      <c r="L1625" s="12"/>
      <c r="M1625" s="11"/>
      <c r="N1625" s="11"/>
      <c r="O1625" s="11"/>
      <c r="P1625" s="11"/>
    </row>
    <row r="1626" spans="8:16" x14ac:dyDescent="0.25">
      <c r="H1626" s="12"/>
      <c r="I1626" s="12"/>
      <c r="J1626" s="12"/>
      <c r="K1626" s="12"/>
      <c r="L1626" s="12"/>
      <c r="M1626" s="11"/>
      <c r="N1626" s="11"/>
      <c r="O1626" s="11"/>
      <c r="P1626" s="11"/>
    </row>
    <row r="1627" spans="8:16" x14ac:dyDescent="0.25">
      <c r="H1627" s="12"/>
      <c r="I1627" s="12"/>
      <c r="J1627" s="12"/>
      <c r="K1627" s="12"/>
      <c r="L1627" s="12"/>
      <c r="M1627" s="11"/>
      <c r="N1627" s="11"/>
      <c r="O1627" s="11"/>
      <c r="P1627" s="11"/>
    </row>
    <row r="1628" spans="8:16" x14ac:dyDescent="0.25">
      <c r="H1628" s="12"/>
      <c r="I1628" s="12"/>
      <c r="J1628" s="12"/>
      <c r="K1628" s="12"/>
      <c r="L1628" s="12"/>
      <c r="M1628" s="11"/>
      <c r="N1628" s="11"/>
      <c r="O1628" s="11"/>
      <c r="P1628" s="11"/>
    </row>
    <row r="1629" spans="8:16" x14ac:dyDescent="0.25">
      <c r="H1629" s="12"/>
      <c r="I1629" s="12"/>
      <c r="J1629" s="12"/>
      <c r="K1629" s="12"/>
      <c r="L1629" s="12"/>
      <c r="M1629" s="11"/>
      <c r="N1629" s="11"/>
      <c r="O1629" s="11"/>
      <c r="P1629" s="11"/>
    </row>
    <row r="1630" spans="8:16" x14ac:dyDescent="0.25">
      <c r="H1630" s="12"/>
      <c r="I1630" s="12"/>
      <c r="J1630" s="12"/>
      <c r="K1630" s="12"/>
      <c r="L1630" s="12"/>
      <c r="M1630" s="11"/>
      <c r="N1630" s="11"/>
      <c r="O1630" s="11"/>
      <c r="P1630" s="11"/>
    </row>
    <row r="1631" spans="8:16" x14ac:dyDescent="0.25">
      <c r="H1631" s="12"/>
      <c r="I1631" s="12"/>
      <c r="J1631" s="12"/>
      <c r="K1631" s="12"/>
      <c r="L1631" s="12"/>
      <c r="M1631" s="11"/>
      <c r="N1631" s="11"/>
      <c r="O1631" s="11"/>
      <c r="P1631" s="11"/>
    </row>
    <row r="1632" spans="8:16" x14ac:dyDescent="0.25">
      <c r="H1632" s="12"/>
      <c r="I1632" s="12"/>
      <c r="J1632" s="12"/>
      <c r="K1632" s="12"/>
      <c r="L1632" s="12"/>
      <c r="M1632" s="11"/>
      <c r="N1632" s="11"/>
      <c r="O1632" s="11"/>
      <c r="P1632" s="11"/>
    </row>
    <row r="1633" spans="8:16" x14ac:dyDescent="0.25">
      <c r="H1633" s="12"/>
      <c r="I1633" s="12"/>
      <c r="J1633" s="12"/>
      <c r="K1633" s="12"/>
      <c r="L1633" s="12"/>
      <c r="M1633" s="11"/>
      <c r="N1633" s="11"/>
      <c r="O1633" s="11"/>
      <c r="P1633" s="11"/>
    </row>
    <row r="1634" spans="8:16" x14ac:dyDescent="0.25">
      <c r="H1634" s="12"/>
      <c r="I1634" s="12"/>
      <c r="J1634" s="12"/>
      <c r="K1634" s="12"/>
      <c r="L1634" s="12"/>
      <c r="M1634" s="11"/>
      <c r="N1634" s="11"/>
      <c r="O1634" s="11"/>
      <c r="P1634" s="11"/>
    </row>
    <row r="1635" spans="8:16" x14ac:dyDescent="0.25">
      <c r="H1635" s="12"/>
      <c r="I1635" s="12"/>
      <c r="J1635" s="12"/>
      <c r="K1635" s="12"/>
      <c r="L1635" s="12"/>
      <c r="M1635" s="11"/>
      <c r="N1635" s="11"/>
      <c r="O1635" s="11"/>
      <c r="P1635" s="11"/>
    </row>
    <row r="1636" spans="8:16" x14ac:dyDescent="0.25">
      <c r="H1636" s="12"/>
      <c r="I1636" s="12"/>
      <c r="J1636" s="12"/>
      <c r="K1636" s="12"/>
      <c r="L1636" s="12"/>
      <c r="M1636" s="11"/>
      <c r="N1636" s="11"/>
      <c r="O1636" s="11"/>
      <c r="P1636" s="11"/>
    </row>
    <row r="1637" spans="8:16" x14ac:dyDescent="0.25">
      <c r="H1637" s="12"/>
      <c r="I1637" s="12"/>
      <c r="J1637" s="12"/>
      <c r="K1637" s="12"/>
      <c r="L1637" s="12"/>
      <c r="M1637" s="11"/>
      <c r="N1637" s="11"/>
      <c r="O1637" s="11"/>
      <c r="P1637" s="11"/>
    </row>
    <row r="1638" spans="8:16" x14ac:dyDescent="0.25">
      <c r="H1638" s="12"/>
      <c r="I1638" s="12"/>
      <c r="J1638" s="12"/>
      <c r="K1638" s="12"/>
      <c r="L1638" s="12"/>
      <c r="M1638" s="11"/>
      <c r="N1638" s="11"/>
      <c r="O1638" s="11"/>
      <c r="P1638" s="11"/>
    </row>
    <row r="1639" spans="8:16" x14ac:dyDescent="0.25">
      <c r="H1639" s="12"/>
      <c r="I1639" s="12"/>
      <c r="J1639" s="12"/>
      <c r="K1639" s="12"/>
      <c r="L1639" s="12"/>
      <c r="M1639" s="11"/>
      <c r="N1639" s="11"/>
      <c r="O1639" s="11"/>
      <c r="P1639" s="11"/>
    </row>
    <row r="1640" spans="8:16" x14ac:dyDescent="0.25">
      <c r="H1640" s="12"/>
      <c r="I1640" s="12"/>
      <c r="J1640" s="12"/>
      <c r="K1640" s="12"/>
      <c r="L1640" s="12"/>
      <c r="M1640" s="11"/>
      <c r="N1640" s="11"/>
      <c r="O1640" s="11"/>
      <c r="P1640" s="11"/>
    </row>
    <row r="1641" spans="8:16" x14ac:dyDescent="0.25">
      <c r="H1641" s="12"/>
      <c r="I1641" s="12"/>
      <c r="J1641" s="12"/>
      <c r="K1641" s="12"/>
      <c r="L1641" s="12"/>
      <c r="M1641" s="11"/>
      <c r="N1641" s="11"/>
      <c r="O1641" s="11"/>
      <c r="P1641" s="11"/>
    </row>
    <row r="1642" spans="8:16" x14ac:dyDescent="0.25">
      <c r="H1642" s="12"/>
      <c r="I1642" s="12"/>
      <c r="J1642" s="12"/>
      <c r="K1642" s="12"/>
      <c r="L1642" s="12"/>
      <c r="M1642" s="11"/>
      <c r="N1642" s="11"/>
      <c r="O1642" s="11"/>
      <c r="P1642" s="11"/>
    </row>
    <row r="1643" spans="8:16" x14ac:dyDescent="0.25">
      <c r="H1643" s="12"/>
      <c r="I1643" s="12"/>
      <c r="J1643" s="12"/>
      <c r="K1643" s="12"/>
      <c r="L1643" s="12"/>
      <c r="M1643" s="11"/>
      <c r="N1643" s="11"/>
      <c r="O1643" s="11"/>
      <c r="P1643" s="11"/>
    </row>
    <row r="1644" spans="8:16" x14ac:dyDescent="0.25">
      <c r="H1644" s="12"/>
      <c r="I1644" s="12"/>
      <c r="J1644" s="12"/>
      <c r="K1644" s="12"/>
      <c r="L1644" s="12"/>
      <c r="M1644" s="11"/>
      <c r="N1644" s="11"/>
      <c r="O1644" s="11"/>
      <c r="P1644" s="11"/>
    </row>
    <row r="1645" spans="8:16" x14ac:dyDescent="0.25">
      <c r="H1645" s="12"/>
      <c r="I1645" s="12"/>
      <c r="J1645" s="12"/>
      <c r="K1645" s="12"/>
      <c r="L1645" s="12"/>
      <c r="M1645" s="11"/>
      <c r="N1645" s="11"/>
      <c r="O1645" s="11"/>
      <c r="P1645" s="11"/>
    </row>
    <row r="1646" spans="8:16" x14ac:dyDescent="0.25">
      <c r="H1646" s="12"/>
      <c r="I1646" s="12"/>
      <c r="J1646" s="12"/>
      <c r="K1646" s="12"/>
      <c r="L1646" s="12"/>
      <c r="M1646" s="11"/>
      <c r="N1646" s="11"/>
      <c r="O1646" s="11"/>
      <c r="P1646" s="11"/>
    </row>
    <row r="1647" spans="8:16" x14ac:dyDescent="0.25">
      <c r="H1647" s="12"/>
      <c r="I1647" s="12"/>
      <c r="J1647" s="12"/>
      <c r="K1647" s="12"/>
      <c r="L1647" s="12"/>
      <c r="M1647" s="11"/>
      <c r="N1647" s="11"/>
      <c r="O1647" s="11"/>
      <c r="P1647" s="11"/>
    </row>
    <row r="1648" spans="8:16" x14ac:dyDescent="0.25">
      <c r="H1648" s="12"/>
      <c r="I1648" s="12"/>
      <c r="J1648" s="12"/>
      <c r="K1648" s="12"/>
      <c r="L1648" s="12"/>
      <c r="M1648" s="11"/>
      <c r="N1648" s="11"/>
      <c r="O1648" s="11"/>
      <c r="P1648" s="11"/>
    </row>
    <row r="1649" spans="8:16" x14ac:dyDescent="0.25">
      <c r="H1649" s="12"/>
      <c r="I1649" s="12"/>
      <c r="J1649" s="12"/>
      <c r="K1649" s="12"/>
      <c r="L1649" s="12"/>
      <c r="M1649" s="11"/>
      <c r="N1649" s="11"/>
      <c r="O1649" s="11"/>
      <c r="P1649" s="11"/>
    </row>
    <row r="1650" spans="8:16" x14ac:dyDescent="0.25">
      <c r="H1650" s="12"/>
      <c r="I1650" s="12"/>
      <c r="J1650" s="12"/>
      <c r="K1650" s="12"/>
      <c r="L1650" s="12"/>
      <c r="M1650" s="11"/>
      <c r="N1650" s="11"/>
      <c r="O1650" s="11"/>
      <c r="P1650" s="11"/>
    </row>
    <row r="1651" spans="8:16" x14ac:dyDescent="0.25">
      <c r="H1651" s="12"/>
      <c r="I1651" s="12"/>
      <c r="J1651" s="12"/>
      <c r="K1651" s="12"/>
      <c r="L1651" s="12"/>
      <c r="M1651" s="11"/>
      <c r="N1651" s="11"/>
      <c r="O1651" s="11"/>
      <c r="P1651" s="11"/>
    </row>
    <row r="1652" spans="8:16" x14ac:dyDescent="0.25">
      <c r="H1652" s="12"/>
      <c r="I1652" s="12"/>
      <c r="J1652" s="12"/>
      <c r="K1652" s="12"/>
      <c r="L1652" s="12"/>
      <c r="M1652" s="11"/>
      <c r="N1652" s="11"/>
      <c r="O1652" s="11"/>
      <c r="P1652" s="11"/>
    </row>
    <row r="1653" spans="8:16" x14ac:dyDescent="0.25">
      <c r="H1653" s="12"/>
      <c r="I1653" s="12"/>
      <c r="J1653" s="12"/>
      <c r="K1653" s="12"/>
      <c r="L1653" s="12"/>
      <c r="M1653" s="11"/>
      <c r="N1653" s="11"/>
      <c r="O1653" s="11"/>
      <c r="P1653" s="11"/>
    </row>
    <row r="1654" spans="8:16" x14ac:dyDescent="0.25">
      <c r="H1654" s="12"/>
      <c r="I1654" s="12"/>
      <c r="J1654" s="12"/>
      <c r="K1654" s="12"/>
      <c r="L1654" s="12"/>
      <c r="M1654" s="11"/>
      <c r="N1654" s="11"/>
      <c r="O1654" s="11"/>
      <c r="P1654" s="11"/>
    </row>
    <row r="1655" spans="8:16" x14ac:dyDescent="0.25">
      <c r="H1655" s="12"/>
      <c r="I1655" s="12"/>
      <c r="J1655" s="12"/>
      <c r="K1655" s="12"/>
      <c r="L1655" s="12"/>
      <c r="M1655" s="11"/>
      <c r="N1655" s="11"/>
      <c r="O1655" s="11"/>
      <c r="P1655" s="11"/>
    </row>
    <row r="1656" spans="8:16" x14ac:dyDescent="0.25">
      <c r="H1656" s="12"/>
      <c r="I1656" s="12"/>
      <c r="J1656" s="12"/>
      <c r="K1656" s="12"/>
      <c r="L1656" s="12"/>
      <c r="M1656" s="11"/>
      <c r="N1656" s="11"/>
      <c r="O1656" s="11"/>
      <c r="P1656" s="11"/>
    </row>
    <row r="1657" spans="8:16" x14ac:dyDescent="0.25">
      <c r="H1657" s="12"/>
      <c r="I1657" s="12"/>
      <c r="J1657" s="12"/>
      <c r="K1657" s="12"/>
      <c r="L1657" s="12"/>
      <c r="M1657" s="11"/>
      <c r="N1657" s="11"/>
      <c r="O1657" s="11"/>
      <c r="P1657" s="11"/>
    </row>
    <row r="1658" spans="8:16" x14ac:dyDescent="0.25">
      <c r="H1658" s="12"/>
      <c r="I1658" s="12"/>
      <c r="J1658" s="12"/>
      <c r="K1658" s="12"/>
      <c r="L1658" s="12"/>
      <c r="M1658" s="11"/>
      <c r="N1658" s="11"/>
      <c r="O1658" s="11"/>
      <c r="P1658" s="11"/>
    </row>
    <row r="1659" spans="8:16" x14ac:dyDescent="0.25">
      <c r="H1659" s="12"/>
      <c r="I1659" s="12"/>
      <c r="J1659" s="12"/>
      <c r="K1659" s="12"/>
      <c r="L1659" s="12"/>
      <c r="M1659" s="11"/>
      <c r="N1659" s="11"/>
      <c r="O1659" s="11"/>
      <c r="P1659" s="11"/>
    </row>
    <row r="1660" spans="8:16" x14ac:dyDescent="0.25">
      <c r="H1660" s="12"/>
      <c r="I1660" s="12"/>
      <c r="J1660" s="12"/>
      <c r="K1660" s="12"/>
      <c r="L1660" s="12"/>
      <c r="M1660" s="11"/>
      <c r="N1660" s="11"/>
      <c r="O1660" s="11"/>
      <c r="P1660" s="11"/>
    </row>
    <row r="1661" spans="8:16" x14ac:dyDescent="0.25">
      <c r="H1661" s="12"/>
      <c r="I1661" s="12"/>
      <c r="J1661" s="12"/>
      <c r="K1661" s="12"/>
      <c r="L1661" s="12"/>
      <c r="M1661" s="11"/>
      <c r="N1661" s="11"/>
      <c r="O1661" s="11"/>
      <c r="P1661" s="11"/>
    </row>
    <row r="1662" spans="8:16" x14ac:dyDescent="0.25">
      <c r="H1662" s="12"/>
      <c r="I1662" s="12"/>
      <c r="J1662" s="12"/>
      <c r="K1662" s="12"/>
      <c r="L1662" s="12"/>
      <c r="M1662" s="11"/>
      <c r="N1662" s="11"/>
      <c r="O1662" s="11"/>
      <c r="P1662" s="11"/>
    </row>
    <row r="1663" spans="8:16" x14ac:dyDescent="0.25">
      <c r="H1663" s="12"/>
      <c r="I1663" s="12"/>
      <c r="J1663" s="12"/>
      <c r="K1663" s="12"/>
      <c r="L1663" s="12"/>
      <c r="M1663" s="11"/>
      <c r="N1663" s="11"/>
      <c r="O1663" s="11"/>
      <c r="P1663" s="11"/>
    </row>
    <row r="1664" spans="8:16" x14ac:dyDescent="0.25">
      <c r="H1664" s="12"/>
      <c r="I1664" s="12"/>
      <c r="J1664" s="12"/>
      <c r="K1664" s="12"/>
      <c r="L1664" s="12"/>
      <c r="M1664" s="11"/>
      <c r="N1664" s="11"/>
      <c r="O1664" s="11"/>
      <c r="P1664" s="11"/>
    </row>
    <row r="1665" spans="8:16" x14ac:dyDescent="0.25">
      <c r="H1665" s="12"/>
      <c r="I1665" s="12"/>
      <c r="J1665" s="12"/>
      <c r="K1665" s="12"/>
      <c r="L1665" s="12"/>
      <c r="M1665" s="11"/>
      <c r="N1665" s="11"/>
      <c r="O1665" s="11"/>
      <c r="P1665" s="11"/>
    </row>
    <row r="1666" spans="8:16" x14ac:dyDescent="0.25">
      <c r="H1666" s="12"/>
      <c r="I1666" s="12"/>
      <c r="J1666" s="12"/>
      <c r="K1666" s="12"/>
      <c r="L1666" s="12"/>
      <c r="M1666" s="11"/>
      <c r="N1666" s="11"/>
      <c r="O1666" s="11"/>
      <c r="P1666" s="11"/>
    </row>
    <row r="1667" spans="8:16" x14ac:dyDescent="0.25">
      <c r="H1667" s="12"/>
      <c r="I1667" s="12"/>
      <c r="J1667" s="12"/>
      <c r="K1667" s="12"/>
      <c r="L1667" s="12"/>
      <c r="M1667" s="11"/>
      <c r="N1667" s="11"/>
      <c r="O1667" s="11"/>
      <c r="P1667" s="11"/>
    </row>
    <row r="1668" spans="8:16" x14ac:dyDescent="0.25">
      <c r="H1668" s="12"/>
      <c r="I1668" s="12"/>
      <c r="J1668" s="12"/>
      <c r="K1668" s="12"/>
      <c r="L1668" s="12"/>
      <c r="M1668" s="11"/>
      <c r="N1668" s="11"/>
      <c r="O1668" s="11"/>
      <c r="P1668" s="11"/>
    </row>
    <row r="1669" spans="8:16" x14ac:dyDescent="0.25">
      <c r="H1669" s="12"/>
      <c r="I1669" s="12"/>
      <c r="J1669" s="12"/>
      <c r="K1669" s="12"/>
      <c r="L1669" s="12"/>
      <c r="M1669" s="11"/>
      <c r="N1669" s="11"/>
      <c r="O1669" s="11"/>
      <c r="P1669" s="11"/>
    </row>
    <row r="1670" spans="8:16" x14ac:dyDescent="0.25">
      <c r="H1670" s="12"/>
      <c r="I1670" s="12"/>
      <c r="J1670" s="12"/>
      <c r="K1670" s="12"/>
      <c r="L1670" s="12"/>
      <c r="M1670" s="11"/>
      <c r="N1670" s="11"/>
      <c r="O1670" s="11"/>
      <c r="P1670" s="11"/>
    </row>
    <row r="1671" spans="8:16" x14ac:dyDescent="0.25">
      <c r="H1671" s="12"/>
      <c r="I1671" s="12"/>
      <c r="J1671" s="12"/>
      <c r="K1671" s="12"/>
      <c r="L1671" s="12"/>
      <c r="M1671" s="11"/>
      <c r="N1671" s="11"/>
      <c r="O1671" s="11"/>
      <c r="P1671" s="11"/>
    </row>
    <row r="1672" spans="8:16" x14ac:dyDescent="0.25">
      <c r="H1672" s="12"/>
      <c r="I1672" s="12"/>
      <c r="J1672" s="12"/>
      <c r="K1672" s="12"/>
      <c r="L1672" s="12"/>
      <c r="M1672" s="11"/>
      <c r="N1672" s="11"/>
      <c r="O1672" s="11"/>
      <c r="P1672" s="11"/>
    </row>
    <row r="1673" spans="8:16" x14ac:dyDescent="0.25">
      <c r="H1673" s="12"/>
      <c r="I1673" s="12"/>
      <c r="J1673" s="12"/>
      <c r="K1673" s="12"/>
      <c r="L1673" s="12"/>
      <c r="M1673" s="11"/>
      <c r="N1673" s="11"/>
      <c r="O1673" s="11"/>
      <c r="P1673" s="11"/>
    </row>
    <row r="1674" spans="8:16" x14ac:dyDescent="0.25">
      <c r="H1674" s="12"/>
      <c r="I1674" s="12"/>
      <c r="J1674" s="12"/>
      <c r="K1674" s="12"/>
      <c r="L1674" s="12"/>
      <c r="M1674" s="11"/>
      <c r="N1674" s="11"/>
      <c r="O1674" s="11"/>
      <c r="P1674" s="11"/>
    </row>
    <row r="1675" spans="8:16" x14ac:dyDescent="0.25">
      <c r="H1675" s="12"/>
      <c r="I1675" s="12"/>
      <c r="J1675" s="12"/>
      <c r="K1675" s="12"/>
      <c r="L1675" s="12"/>
      <c r="M1675" s="11"/>
      <c r="N1675" s="11"/>
      <c r="O1675" s="11"/>
      <c r="P1675" s="11"/>
    </row>
    <row r="1676" spans="8:16" x14ac:dyDescent="0.25">
      <c r="H1676" s="12"/>
      <c r="I1676" s="12"/>
      <c r="J1676" s="12"/>
      <c r="K1676" s="12"/>
      <c r="L1676" s="12"/>
      <c r="M1676" s="11"/>
      <c r="N1676" s="11"/>
      <c r="O1676" s="11"/>
      <c r="P1676" s="11"/>
    </row>
    <row r="1677" spans="8:16" x14ac:dyDescent="0.25">
      <c r="H1677" s="12"/>
      <c r="I1677" s="12"/>
      <c r="J1677" s="12"/>
      <c r="K1677" s="12"/>
      <c r="L1677" s="12"/>
      <c r="M1677" s="11"/>
      <c r="N1677" s="11"/>
      <c r="O1677" s="11"/>
      <c r="P1677" s="11"/>
    </row>
    <row r="1678" spans="8:16" x14ac:dyDescent="0.25">
      <c r="H1678" s="12"/>
      <c r="I1678" s="12"/>
      <c r="J1678" s="12"/>
      <c r="K1678" s="12"/>
      <c r="L1678" s="12"/>
      <c r="M1678" s="11"/>
      <c r="N1678" s="11"/>
      <c r="O1678" s="11"/>
      <c r="P1678" s="11"/>
    </row>
    <row r="1679" spans="8:16" x14ac:dyDescent="0.25">
      <c r="H1679" s="12"/>
      <c r="I1679" s="12"/>
      <c r="J1679" s="12"/>
      <c r="K1679" s="12"/>
      <c r="L1679" s="12"/>
      <c r="M1679" s="11"/>
      <c r="N1679" s="11"/>
      <c r="O1679" s="11"/>
      <c r="P1679" s="11"/>
    </row>
    <row r="1680" spans="8:16" x14ac:dyDescent="0.25">
      <c r="H1680" s="12"/>
      <c r="I1680" s="12"/>
      <c r="J1680" s="12"/>
      <c r="K1680" s="12"/>
      <c r="L1680" s="12"/>
      <c r="M1680" s="11"/>
      <c r="N1680" s="11"/>
      <c r="O1680" s="11"/>
      <c r="P1680" s="11"/>
    </row>
    <row r="1681" spans="8:16" x14ac:dyDescent="0.25">
      <c r="H1681" s="12"/>
      <c r="I1681" s="12"/>
      <c r="J1681" s="12"/>
      <c r="K1681" s="12"/>
      <c r="L1681" s="12"/>
      <c r="M1681" s="11"/>
      <c r="N1681" s="11"/>
      <c r="O1681" s="11"/>
      <c r="P1681" s="11"/>
    </row>
    <row r="1682" spans="8:16" x14ac:dyDescent="0.25">
      <c r="H1682" s="12"/>
      <c r="I1682" s="12"/>
      <c r="J1682" s="12"/>
      <c r="K1682" s="12"/>
      <c r="L1682" s="12"/>
      <c r="M1682" s="11"/>
      <c r="N1682" s="11"/>
      <c r="O1682" s="11"/>
      <c r="P1682" s="11"/>
    </row>
    <row r="1683" spans="8:16" x14ac:dyDescent="0.25">
      <c r="H1683" s="12"/>
      <c r="I1683" s="12"/>
      <c r="J1683" s="12"/>
      <c r="K1683" s="12"/>
      <c r="L1683" s="12"/>
      <c r="M1683" s="11"/>
      <c r="N1683" s="11"/>
      <c r="O1683" s="11"/>
      <c r="P1683" s="11"/>
    </row>
    <row r="1684" spans="8:16" x14ac:dyDescent="0.25">
      <c r="H1684" s="12"/>
      <c r="I1684" s="12"/>
      <c r="J1684" s="12"/>
      <c r="K1684" s="12"/>
      <c r="L1684" s="12"/>
      <c r="M1684" s="11"/>
      <c r="N1684" s="11"/>
      <c r="O1684" s="11"/>
      <c r="P1684" s="11"/>
    </row>
    <row r="1685" spans="8:16" x14ac:dyDescent="0.25">
      <c r="H1685" s="12"/>
      <c r="I1685" s="12"/>
      <c r="J1685" s="12"/>
      <c r="K1685" s="12"/>
      <c r="L1685" s="12"/>
      <c r="M1685" s="11"/>
      <c r="N1685" s="11"/>
      <c r="O1685" s="11"/>
      <c r="P1685" s="11"/>
    </row>
    <row r="1686" spans="8:16" x14ac:dyDescent="0.25">
      <c r="H1686" s="12"/>
      <c r="I1686" s="12"/>
      <c r="J1686" s="12"/>
      <c r="K1686" s="12"/>
      <c r="L1686" s="12"/>
      <c r="M1686" s="11"/>
      <c r="N1686" s="11"/>
      <c r="O1686" s="11"/>
      <c r="P1686" s="11"/>
    </row>
    <row r="1687" spans="8:16" x14ac:dyDescent="0.25">
      <c r="H1687" s="12"/>
      <c r="I1687" s="12"/>
      <c r="J1687" s="12"/>
      <c r="K1687" s="12"/>
      <c r="L1687" s="12"/>
      <c r="M1687" s="11"/>
      <c r="N1687" s="11"/>
      <c r="O1687" s="11"/>
      <c r="P1687" s="11"/>
    </row>
    <row r="1688" spans="8:16" x14ac:dyDescent="0.25">
      <c r="H1688" s="12"/>
      <c r="I1688" s="12"/>
      <c r="J1688" s="12"/>
      <c r="K1688" s="12"/>
      <c r="L1688" s="12"/>
      <c r="M1688" s="11"/>
      <c r="N1688" s="11"/>
      <c r="O1688" s="11"/>
      <c r="P1688" s="11"/>
    </row>
    <row r="1689" spans="8:16" x14ac:dyDescent="0.25">
      <c r="H1689" s="12"/>
      <c r="I1689" s="12"/>
      <c r="J1689" s="12"/>
      <c r="K1689" s="12"/>
      <c r="L1689" s="12"/>
      <c r="M1689" s="11"/>
      <c r="N1689" s="11"/>
      <c r="O1689" s="11"/>
      <c r="P1689" s="11"/>
    </row>
    <row r="1690" spans="8:16" x14ac:dyDescent="0.25">
      <c r="H1690" s="12"/>
      <c r="I1690" s="12"/>
      <c r="J1690" s="12"/>
      <c r="K1690" s="12"/>
      <c r="L1690" s="12"/>
      <c r="M1690" s="11"/>
      <c r="N1690" s="11"/>
      <c r="O1690" s="11"/>
      <c r="P1690" s="11"/>
    </row>
    <row r="1691" spans="8:16" x14ac:dyDescent="0.25">
      <c r="H1691" s="12"/>
      <c r="I1691" s="12"/>
      <c r="J1691" s="12"/>
      <c r="K1691" s="12"/>
      <c r="L1691" s="12"/>
      <c r="M1691" s="11"/>
      <c r="N1691" s="11"/>
      <c r="O1691" s="11"/>
      <c r="P1691" s="11"/>
    </row>
    <row r="1692" spans="8:16" x14ac:dyDescent="0.25">
      <c r="H1692" s="12"/>
      <c r="I1692" s="12"/>
      <c r="J1692" s="12"/>
      <c r="K1692" s="12"/>
      <c r="L1692" s="12"/>
      <c r="M1692" s="11"/>
      <c r="N1692" s="11"/>
      <c r="O1692" s="11"/>
      <c r="P1692" s="11"/>
    </row>
    <row r="1693" spans="8:16" x14ac:dyDescent="0.25">
      <c r="H1693" s="12"/>
      <c r="I1693" s="12"/>
      <c r="J1693" s="12"/>
      <c r="K1693" s="12"/>
      <c r="L1693" s="12"/>
      <c r="M1693" s="11"/>
      <c r="N1693" s="11"/>
      <c r="O1693" s="11"/>
      <c r="P1693" s="11"/>
    </row>
    <row r="1694" spans="8:16" x14ac:dyDescent="0.25">
      <c r="H1694" s="12"/>
      <c r="I1694" s="12"/>
      <c r="J1694" s="12"/>
      <c r="K1694" s="12"/>
      <c r="L1694" s="12"/>
      <c r="M1694" s="11"/>
      <c r="N1694" s="11"/>
      <c r="O1694" s="11"/>
      <c r="P1694" s="11"/>
    </row>
    <row r="1695" spans="8:16" x14ac:dyDescent="0.25">
      <c r="H1695" s="12"/>
      <c r="I1695" s="12"/>
      <c r="J1695" s="12"/>
      <c r="K1695" s="12"/>
      <c r="L1695" s="12"/>
      <c r="M1695" s="11"/>
      <c r="N1695" s="11"/>
      <c r="O1695" s="11"/>
      <c r="P1695" s="11"/>
    </row>
    <row r="1696" spans="8:16" x14ac:dyDescent="0.25">
      <c r="H1696" s="12"/>
      <c r="I1696" s="12"/>
      <c r="J1696" s="12"/>
      <c r="K1696" s="12"/>
      <c r="L1696" s="12"/>
      <c r="M1696" s="11"/>
      <c r="N1696" s="11"/>
      <c r="O1696" s="11"/>
      <c r="P1696" s="11"/>
    </row>
    <row r="1697" spans="8:16" x14ac:dyDescent="0.25">
      <c r="H1697" s="12"/>
      <c r="I1697" s="12"/>
      <c r="J1697" s="12"/>
      <c r="K1697" s="12"/>
      <c r="L1697" s="12"/>
      <c r="M1697" s="11"/>
      <c r="N1697" s="11"/>
      <c r="O1697" s="11"/>
      <c r="P1697" s="11"/>
    </row>
    <row r="1698" spans="8:16" x14ac:dyDescent="0.25">
      <c r="H1698" s="12"/>
      <c r="I1698" s="12"/>
      <c r="J1698" s="12"/>
      <c r="K1698" s="12"/>
      <c r="L1698" s="12"/>
      <c r="M1698" s="11"/>
      <c r="N1698" s="11"/>
      <c r="O1698" s="11"/>
      <c r="P1698" s="11"/>
    </row>
    <row r="1699" spans="8:16" x14ac:dyDescent="0.25">
      <c r="H1699" s="12"/>
      <c r="I1699" s="12"/>
      <c r="J1699" s="12"/>
      <c r="K1699" s="12"/>
      <c r="L1699" s="12"/>
      <c r="M1699" s="11"/>
      <c r="N1699" s="11"/>
      <c r="O1699" s="11"/>
      <c r="P1699" s="11"/>
    </row>
    <row r="1700" spans="8:16" x14ac:dyDescent="0.25">
      <c r="H1700" s="12"/>
      <c r="I1700" s="12"/>
      <c r="J1700" s="12"/>
      <c r="K1700" s="12"/>
      <c r="L1700" s="12"/>
      <c r="M1700" s="11"/>
      <c r="N1700" s="11"/>
      <c r="O1700" s="11"/>
      <c r="P1700" s="11"/>
    </row>
    <row r="1701" spans="8:16" x14ac:dyDescent="0.25">
      <c r="H1701" s="12"/>
      <c r="I1701" s="12"/>
      <c r="J1701" s="12"/>
      <c r="K1701" s="12"/>
      <c r="L1701" s="12"/>
      <c r="M1701" s="11"/>
      <c r="N1701" s="11"/>
      <c r="O1701" s="11"/>
      <c r="P1701" s="11"/>
    </row>
    <row r="1702" spans="8:16" x14ac:dyDescent="0.25">
      <c r="H1702" s="12"/>
      <c r="I1702" s="12"/>
      <c r="J1702" s="12"/>
      <c r="K1702" s="12"/>
      <c r="L1702" s="12"/>
      <c r="M1702" s="11"/>
      <c r="N1702" s="11"/>
      <c r="O1702" s="11"/>
      <c r="P1702" s="11"/>
    </row>
    <row r="1703" spans="8:16" x14ac:dyDescent="0.25">
      <c r="H1703" s="12"/>
      <c r="I1703" s="12"/>
      <c r="J1703" s="12"/>
      <c r="K1703" s="12"/>
      <c r="L1703" s="12"/>
      <c r="M1703" s="11"/>
      <c r="N1703" s="11"/>
      <c r="O1703" s="11"/>
      <c r="P1703" s="11"/>
    </row>
    <row r="1704" spans="8:16" x14ac:dyDescent="0.25">
      <c r="H1704" s="12"/>
      <c r="I1704" s="12"/>
      <c r="J1704" s="12"/>
      <c r="K1704" s="12"/>
      <c r="L1704" s="12"/>
      <c r="M1704" s="11"/>
      <c r="N1704" s="11"/>
      <c r="O1704" s="11"/>
      <c r="P1704" s="11"/>
    </row>
    <row r="1705" spans="8:16" x14ac:dyDescent="0.25">
      <c r="H1705" s="12"/>
      <c r="I1705" s="12"/>
      <c r="J1705" s="12"/>
      <c r="K1705" s="12"/>
      <c r="L1705" s="12"/>
      <c r="M1705" s="11"/>
      <c r="N1705" s="11"/>
      <c r="O1705" s="11"/>
      <c r="P1705" s="11"/>
    </row>
    <row r="1706" spans="8:16" x14ac:dyDescent="0.25">
      <c r="H1706" s="12"/>
      <c r="I1706" s="12"/>
      <c r="J1706" s="12"/>
      <c r="K1706" s="12"/>
      <c r="L1706" s="12"/>
      <c r="M1706" s="11"/>
      <c r="N1706" s="11"/>
      <c r="O1706" s="11"/>
      <c r="P1706" s="11"/>
    </row>
    <row r="1707" spans="8:16" x14ac:dyDescent="0.25">
      <c r="H1707" s="12"/>
      <c r="I1707" s="12"/>
      <c r="J1707" s="12"/>
      <c r="K1707" s="12"/>
      <c r="L1707" s="12"/>
      <c r="M1707" s="11"/>
      <c r="N1707" s="11"/>
      <c r="O1707" s="11"/>
      <c r="P1707" s="11"/>
    </row>
    <row r="1708" spans="8:16" x14ac:dyDescent="0.25">
      <c r="H1708" s="12"/>
      <c r="I1708" s="12"/>
      <c r="J1708" s="12"/>
      <c r="K1708" s="12"/>
      <c r="L1708" s="12"/>
      <c r="M1708" s="11"/>
      <c r="N1708" s="11"/>
      <c r="O1708" s="11"/>
      <c r="P1708" s="11"/>
    </row>
    <row r="1709" spans="8:16" x14ac:dyDescent="0.25">
      <c r="H1709" s="12"/>
      <c r="I1709" s="12"/>
      <c r="J1709" s="12"/>
      <c r="K1709" s="12"/>
      <c r="L1709" s="12"/>
      <c r="M1709" s="11"/>
      <c r="N1709" s="11"/>
      <c r="O1709" s="11"/>
      <c r="P1709" s="11"/>
    </row>
    <row r="1710" spans="8:16" x14ac:dyDescent="0.25">
      <c r="H1710" s="12"/>
      <c r="I1710" s="12"/>
      <c r="J1710" s="12"/>
      <c r="K1710" s="12"/>
      <c r="L1710" s="12"/>
      <c r="M1710" s="11"/>
      <c r="N1710" s="11"/>
      <c r="O1710" s="11"/>
      <c r="P1710" s="11"/>
    </row>
    <row r="1711" spans="8:16" x14ac:dyDescent="0.25">
      <c r="H1711" s="12"/>
      <c r="I1711" s="12"/>
      <c r="J1711" s="12"/>
      <c r="K1711" s="12"/>
      <c r="L1711" s="12"/>
      <c r="M1711" s="11"/>
      <c r="N1711" s="11"/>
      <c r="O1711" s="11"/>
      <c r="P1711" s="11"/>
    </row>
    <row r="1712" spans="8:16" x14ac:dyDescent="0.25">
      <c r="H1712" s="12"/>
      <c r="I1712" s="12"/>
      <c r="J1712" s="12"/>
      <c r="K1712" s="12"/>
      <c r="L1712" s="12"/>
      <c r="M1712" s="11"/>
      <c r="N1712" s="11"/>
      <c r="O1712" s="11"/>
      <c r="P1712" s="11"/>
    </row>
    <row r="1713" spans="8:16" x14ac:dyDescent="0.25">
      <c r="H1713" s="12"/>
      <c r="I1713" s="12"/>
      <c r="J1713" s="12"/>
      <c r="K1713" s="12"/>
      <c r="L1713" s="12"/>
      <c r="M1713" s="11"/>
      <c r="N1713" s="11"/>
      <c r="O1713" s="11"/>
      <c r="P1713" s="11"/>
    </row>
    <row r="1714" spans="8:16" x14ac:dyDescent="0.25">
      <c r="H1714" s="12"/>
      <c r="I1714" s="12"/>
      <c r="J1714" s="12"/>
      <c r="K1714" s="12"/>
      <c r="L1714" s="12"/>
      <c r="M1714" s="11"/>
      <c r="N1714" s="11"/>
      <c r="O1714" s="11"/>
      <c r="P1714" s="11"/>
    </row>
    <row r="1715" spans="8:16" x14ac:dyDescent="0.25">
      <c r="H1715" s="12"/>
      <c r="I1715" s="12"/>
      <c r="J1715" s="12"/>
      <c r="K1715" s="12"/>
      <c r="L1715" s="12"/>
      <c r="M1715" s="11"/>
      <c r="N1715" s="11"/>
      <c r="O1715" s="11"/>
      <c r="P1715" s="11"/>
    </row>
    <row r="1716" spans="8:16" x14ac:dyDescent="0.25">
      <c r="H1716" s="12"/>
      <c r="I1716" s="12"/>
      <c r="J1716" s="12"/>
      <c r="K1716" s="12"/>
      <c r="L1716" s="12"/>
      <c r="M1716" s="11"/>
      <c r="N1716" s="11"/>
      <c r="O1716" s="11"/>
      <c r="P1716" s="11"/>
    </row>
    <row r="1717" spans="8:16" x14ac:dyDescent="0.25">
      <c r="H1717" s="12"/>
      <c r="I1717" s="12"/>
      <c r="J1717" s="12"/>
      <c r="K1717" s="12"/>
      <c r="L1717" s="12"/>
      <c r="M1717" s="11"/>
      <c r="N1717" s="11"/>
      <c r="O1717" s="11"/>
      <c r="P1717" s="11"/>
    </row>
    <row r="1718" spans="8:16" x14ac:dyDescent="0.25">
      <c r="H1718" s="12"/>
      <c r="I1718" s="12"/>
      <c r="J1718" s="12"/>
      <c r="K1718" s="12"/>
      <c r="L1718" s="12"/>
      <c r="M1718" s="11"/>
      <c r="N1718" s="11"/>
      <c r="O1718" s="11"/>
      <c r="P1718" s="11"/>
    </row>
    <row r="1719" spans="8:16" x14ac:dyDescent="0.25">
      <c r="H1719" s="12"/>
      <c r="I1719" s="12"/>
      <c r="J1719" s="12"/>
      <c r="K1719" s="12"/>
      <c r="L1719" s="12"/>
      <c r="M1719" s="11"/>
      <c r="N1719" s="11"/>
      <c r="O1719" s="11"/>
      <c r="P1719" s="11"/>
    </row>
    <row r="1720" spans="8:16" x14ac:dyDescent="0.25">
      <c r="H1720" s="12"/>
      <c r="I1720" s="12"/>
      <c r="J1720" s="12"/>
      <c r="K1720" s="12"/>
      <c r="L1720" s="12"/>
      <c r="M1720" s="11"/>
      <c r="N1720" s="11"/>
      <c r="O1720" s="11"/>
      <c r="P1720" s="11"/>
    </row>
    <row r="1721" spans="8:16" x14ac:dyDescent="0.25">
      <c r="H1721" s="12"/>
      <c r="I1721" s="12"/>
      <c r="J1721" s="12"/>
      <c r="K1721" s="12"/>
      <c r="L1721" s="12"/>
      <c r="M1721" s="11"/>
      <c r="N1721" s="11"/>
      <c r="O1721" s="11"/>
      <c r="P1721" s="11"/>
    </row>
    <row r="1722" spans="8:16" x14ac:dyDescent="0.25">
      <c r="H1722" s="12"/>
      <c r="I1722" s="12"/>
      <c r="J1722" s="12"/>
      <c r="K1722" s="12"/>
      <c r="L1722" s="12"/>
      <c r="M1722" s="11"/>
      <c r="N1722" s="11"/>
      <c r="O1722" s="11"/>
      <c r="P1722" s="11"/>
    </row>
    <row r="1723" spans="8:16" x14ac:dyDescent="0.25">
      <c r="H1723" s="12"/>
      <c r="I1723" s="12"/>
      <c r="J1723" s="12"/>
      <c r="K1723" s="12"/>
      <c r="L1723" s="12"/>
      <c r="M1723" s="11"/>
      <c r="N1723" s="11"/>
      <c r="O1723" s="11"/>
      <c r="P1723" s="11"/>
    </row>
    <row r="1724" spans="8:16" x14ac:dyDescent="0.25">
      <c r="H1724" s="12"/>
      <c r="I1724" s="12"/>
      <c r="J1724" s="12"/>
      <c r="K1724" s="12"/>
      <c r="L1724" s="12"/>
      <c r="M1724" s="11"/>
      <c r="N1724" s="11"/>
      <c r="O1724" s="11"/>
      <c r="P1724" s="11"/>
    </row>
    <row r="1725" spans="8:16" x14ac:dyDescent="0.25">
      <c r="H1725" s="12"/>
      <c r="I1725" s="12"/>
      <c r="J1725" s="12"/>
      <c r="K1725" s="12"/>
      <c r="L1725" s="12"/>
      <c r="M1725" s="11"/>
      <c r="N1725" s="11"/>
      <c r="O1725" s="11"/>
      <c r="P1725" s="11"/>
    </row>
    <row r="1726" spans="8:16" x14ac:dyDescent="0.25">
      <c r="H1726" s="12"/>
      <c r="I1726" s="12"/>
      <c r="J1726" s="12"/>
      <c r="K1726" s="12"/>
      <c r="L1726" s="12"/>
      <c r="M1726" s="11"/>
      <c r="N1726" s="11"/>
      <c r="O1726" s="11"/>
      <c r="P1726" s="11"/>
    </row>
    <row r="1727" spans="8:16" x14ac:dyDescent="0.25">
      <c r="H1727" s="12"/>
      <c r="I1727" s="12"/>
      <c r="J1727" s="12"/>
      <c r="K1727" s="12"/>
      <c r="L1727" s="12"/>
      <c r="M1727" s="11"/>
      <c r="N1727" s="11"/>
      <c r="O1727" s="11"/>
      <c r="P1727" s="11"/>
    </row>
    <row r="1728" spans="8:16" x14ac:dyDescent="0.25">
      <c r="H1728" s="12"/>
      <c r="I1728" s="12"/>
      <c r="J1728" s="12"/>
      <c r="K1728" s="12"/>
      <c r="L1728" s="12"/>
      <c r="M1728" s="11"/>
      <c r="N1728" s="11"/>
      <c r="O1728" s="11"/>
      <c r="P1728" s="11"/>
    </row>
    <row r="1729" spans="8:16" x14ac:dyDescent="0.25">
      <c r="H1729" s="12"/>
      <c r="I1729" s="12"/>
      <c r="J1729" s="12"/>
      <c r="K1729" s="12"/>
      <c r="L1729" s="12"/>
      <c r="M1729" s="11"/>
      <c r="N1729" s="11"/>
      <c r="O1729" s="11"/>
      <c r="P1729" s="11"/>
    </row>
    <row r="1730" spans="8:16" x14ac:dyDescent="0.25">
      <c r="H1730" s="12"/>
      <c r="I1730" s="12"/>
      <c r="J1730" s="12"/>
      <c r="K1730" s="12"/>
      <c r="L1730" s="12"/>
      <c r="M1730" s="11"/>
      <c r="N1730" s="11"/>
      <c r="O1730" s="11"/>
      <c r="P1730" s="11"/>
    </row>
    <row r="1731" spans="8:16" x14ac:dyDescent="0.25">
      <c r="H1731" s="12"/>
      <c r="I1731" s="12"/>
      <c r="J1731" s="12"/>
      <c r="K1731" s="12"/>
      <c r="L1731" s="12"/>
      <c r="M1731" s="11"/>
      <c r="N1731" s="11"/>
      <c r="O1731" s="11"/>
      <c r="P1731" s="11"/>
    </row>
    <row r="1732" spans="8:16" x14ac:dyDescent="0.25">
      <c r="H1732" s="12"/>
      <c r="I1732" s="12"/>
      <c r="J1732" s="12"/>
      <c r="K1732" s="12"/>
      <c r="L1732" s="12"/>
      <c r="M1732" s="11"/>
      <c r="N1732" s="11"/>
      <c r="O1732" s="11"/>
      <c r="P1732" s="11"/>
    </row>
    <row r="1733" spans="8:16" x14ac:dyDescent="0.25">
      <c r="H1733" s="12"/>
      <c r="I1733" s="12"/>
      <c r="J1733" s="12"/>
      <c r="K1733" s="12"/>
      <c r="L1733" s="12"/>
      <c r="M1733" s="11"/>
      <c r="N1733" s="11"/>
      <c r="O1733" s="11"/>
      <c r="P1733" s="11"/>
    </row>
    <row r="1734" spans="8:16" x14ac:dyDescent="0.25">
      <c r="H1734" s="12"/>
      <c r="I1734" s="12"/>
      <c r="J1734" s="12"/>
      <c r="K1734" s="12"/>
      <c r="L1734" s="12"/>
      <c r="M1734" s="11"/>
      <c r="N1734" s="11"/>
      <c r="O1734" s="11"/>
      <c r="P1734" s="11"/>
    </row>
    <row r="1735" spans="8:16" x14ac:dyDescent="0.25">
      <c r="H1735" s="12"/>
      <c r="I1735" s="12"/>
      <c r="J1735" s="12"/>
      <c r="K1735" s="12"/>
      <c r="L1735" s="12"/>
      <c r="M1735" s="11"/>
      <c r="N1735" s="11"/>
      <c r="O1735" s="11"/>
      <c r="P1735" s="11"/>
    </row>
    <row r="1736" spans="8:16" x14ac:dyDescent="0.25">
      <c r="H1736" s="12"/>
      <c r="I1736" s="12"/>
      <c r="J1736" s="12"/>
      <c r="K1736" s="12"/>
      <c r="L1736" s="12"/>
      <c r="M1736" s="11"/>
      <c r="N1736" s="11"/>
      <c r="O1736" s="11"/>
      <c r="P1736" s="11"/>
    </row>
    <row r="1737" spans="8:16" x14ac:dyDescent="0.25">
      <c r="H1737" s="12"/>
      <c r="I1737" s="12"/>
      <c r="J1737" s="12"/>
      <c r="K1737" s="12"/>
      <c r="L1737" s="12"/>
      <c r="M1737" s="11"/>
      <c r="N1737" s="11"/>
      <c r="O1737" s="11"/>
      <c r="P1737" s="11"/>
    </row>
    <row r="1738" spans="8:16" x14ac:dyDescent="0.25">
      <c r="H1738" s="12"/>
      <c r="I1738" s="12"/>
      <c r="J1738" s="12"/>
      <c r="K1738" s="12"/>
      <c r="L1738" s="12"/>
      <c r="M1738" s="11"/>
      <c r="N1738" s="11"/>
      <c r="O1738" s="11"/>
      <c r="P1738" s="11"/>
    </row>
    <row r="1739" spans="8:16" x14ac:dyDescent="0.25">
      <c r="H1739" s="12"/>
      <c r="I1739" s="12"/>
      <c r="J1739" s="12"/>
      <c r="K1739" s="12"/>
      <c r="L1739" s="12"/>
      <c r="M1739" s="11"/>
      <c r="N1739" s="11"/>
      <c r="O1739" s="11"/>
      <c r="P1739" s="11"/>
    </row>
    <row r="1740" spans="8:16" x14ac:dyDescent="0.25">
      <c r="H1740" s="12"/>
      <c r="I1740" s="12"/>
      <c r="J1740" s="12"/>
      <c r="K1740" s="12"/>
      <c r="L1740" s="12"/>
      <c r="M1740" s="11"/>
      <c r="N1740" s="11"/>
      <c r="O1740" s="11"/>
      <c r="P1740" s="11"/>
    </row>
    <row r="1741" spans="8:16" x14ac:dyDescent="0.25">
      <c r="H1741" s="12"/>
      <c r="I1741" s="12"/>
      <c r="J1741" s="12"/>
      <c r="K1741" s="12"/>
      <c r="L1741" s="12"/>
      <c r="M1741" s="11"/>
      <c r="N1741" s="11"/>
      <c r="O1741" s="11"/>
      <c r="P1741" s="11"/>
    </row>
    <row r="1742" spans="8:16" x14ac:dyDescent="0.25">
      <c r="H1742" s="12"/>
      <c r="I1742" s="12"/>
      <c r="J1742" s="12"/>
      <c r="K1742" s="12"/>
      <c r="L1742" s="12"/>
      <c r="M1742" s="11"/>
      <c r="N1742" s="11"/>
      <c r="O1742" s="11"/>
      <c r="P1742" s="11"/>
    </row>
    <row r="1743" spans="8:16" x14ac:dyDescent="0.25">
      <c r="H1743" s="12"/>
      <c r="I1743" s="12"/>
      <c r="J1743" s="12"/>
      <c r="K1743" s="12"/>
      <c r="L1743" s="12"/>
      <c r="M1743" s="11"/>
      <c r="N1743" s="11"/>
      <c r="O1743" s="11"/>
      <c r="P1743" s="11"/>
    </row>
    <row r="1744" spans="8:16" x14ac:dyDescent="0.25">
      <c r="H1744" s="12"/>
      <c r="I1744" s="12"/>
      <c r="J1744" s="12"/>
      <c r="K1744" s="12"/>
      <c r="L1744" s="12"/>
      <c r="M1744" s="11"/>
      <c r="N1744" s="11"/>
      <c r="O1744" s="11"/>
      <c r="P1744" s="11"/>
    </row>
    <row r="1745" spans="8:16" x14ac:dyDescent="0.25">
      <c r="H1745" s="12"/>
      <c r="I1745" s="12"/>
      <c r="J1745" s="12"/>
      <c r="K1745" s="12"/>
      <c r="L1745" s="12"/>
      <c r="M1745" s="11"/>
      <c r="N1745" s="11"/>
      <c r="O1745" s="11"/>
      <c r="P1745" s="11"/>
    </row>
    <row r="1746" spans="8:16" x14ac:dyDescent="0.25">
      <c r="H1746" s="12"/>
      <c r="I1746" s="12"/>
      <c r="J1746" s="12"/>
      <c r="K1746" s="12"/>
      <c r="L1746" s="12"/>
      <c r="M1746" s="11"/>
      <c r="N1746" s="11"/>
      <c r="O1746" s="11"/>
      <c r="P1746" s="11"/>
    </row>
    <row r="1747" spans="8:16" x14ac:dyDescent="0.25">
      <c r="H1747" s="12"/>
      <c r="I1747" s="12"/>
      <c r="J1747" s="12"/>
      <c r="K1747" s="12"/>
      <c r="L1747" s="12"/>
      <c r="M1747" s="11"/>
      <c r="N1747" s="11"/>
      <c r="O1747" s="11"/>
      <c r="P1747" s="11"/>
    </row>
    <row r="1748" spans="8:16" x14ac:dyDescent="0.25">
      <c r="H1748" s="12"/>
      <c r="I1748" s="12"/>
      <c r="J1748" s="12"/>
      <c r="K1748" s="12"/>
      <c r="L1748" s="12"/>
      <c r="M1748" s="11"/>
      <c r="N1748" s="11"/>
      <c r="O1748" s="11"/>
      <c r="P1748" s="11"/>
    </row>
    <row r="1749" spans="8:16" x14ac:dyDescent="0.25">
      <c r="H1749" s="12"/>
      <c r="I1749" s="12"/>
      <c r="J1749" s="12"/>
      <c r="K1749" s="12"/>
      <c r="L1749" s="12"/>
      <c r="M1749" s="11"/>
      <c r="N1749" s="11"/>
      <c r="O1749" s="11"/>
      <c r="P1749" s="11"/>
    </row>
    <row r="1750" spans="8:16" x14ac:dyDescent="0.25">
      <c r="H1750" s="12"/>
      <c r="I1750" s="12"/>
      <c r="J1750" s="12"/>
      <c r="K1750" s="12"/>
      <c r="L1750" s="12"/>
      <c r="M1750" s="11"/>
      <c r="N1750" s="11"/>
      <c r="O1750" s="11"/>
      <c r="P1750" s="11"/>
    </row>
    <row r="1751" spans="8:16" x14ac:dyDescent="0.25">
      <c r="H1751" s="12"/>
      <c r="I1751" s="12"/>
      <c r="J1751" s="12"/>
      <c r="K1751" s="12"/>
      <c r="L1751" s="12"/>
      <c r="M1751" s="11"/>
      <c r="N1751" s="11"/>
      <c r="O1751" s="11"/>
      <c r="P1751" s="11"/>
    </row>
    <row r="1752" spans="8:16" x14ac:dyDescent="0.25">
      <c r="H1752" s="12"/>
      <c r="I1752" s="12"/>
      <c r="J1752" s="12"/>
      <c r="K1752" s="12"/>
      <c r="L1752" s="12"/>
      <c r="M1752" s="11"/>
      <c r="N1752" s="11"/>
      <c r="O1752" s="11"/>
      <c r="P1752" s="11"/>
    </row>
    <row r="1753" spans="8:16" x14ac:dyDescent="0.25">
      <c r="H1753" s="12"/>
      <c r="I1753" s="12"/>
      <c r="J1753" s="12"/>
      <c r="K1753" s="12"/>
      <c r="L1753" s="12"/>
      <c r="M1753" s="11"/>
      <c r="N1753" s="11"/>
      <c r="O1753" s="11"/>
      <c r="P1753" s="11"/>
    </row>
    <row r="1754" spans="8:16" x14ac:dyDescent="0.25">
      <c r="H1754" s="12"/>
      <c r="I1754" s="12"/>
      <c r="J1754" s="12"/>
      <c r="K1754" s="12"/>
      <c r="L1754" s="12"/>
      <c r="M1754" s="11"/>
      <c r="N1754" s="11"/>
      <c r="O1754" s="11"/>
      <c r="P1754" s="11"/>
    </row>
    <row r="1755" spans="8:16" x14ac:dyDescent="0.25">
      <c r="H1755" s="12"/>
      <c r="I1755" s="12"/>
      <c r="J1755" s="12"/>
      <c r="K1755" s="12"/>
      <c r="L1755" s="12"/>
      <c r="M1755" s="11"/>
      <c r="N1755" s="11"/>
      <c r="O1755" s="11"/>
      <c r="P1755" s="11"/>
    </row>
    <row r="1756" spans="8:16" x14ac:dyDescent="0.25">
      <c r="H1756" s="12"/>
      <c r="I1756" s="12"/>
      <c r="J1756" s="12"/>
      <c r="K1756" s="12"/>
      <c r="L1756" s="12"/>
      <c r="M1756" s="11"/>
      <c r="N1756" s="11"/>
      <c r="O1756" s="11"/>
      <c r="P1756" s="11"/>
    </row>
    <row r="1757" spans="8:16" x14ac:dyDescent="0.25">
      <c r="H1757" s="12"/>
      <c r="I1757" s="12"/>
      <c r="J1757" s="12"/>
      <c r="K1757" s="12"/>
      <c r="L1757" s="12"/>
      <c r="M1757" s="11"/>
      <c r="N1757" s="11"/>
      <c r="O1757" s="11"/>
      <c r="P1757" s="11"/>
    </row>
    <row r="1758" spans="8:16" x14ac:dyDescent="0.25">
      <c r="H1758" s="12"/>
      <c r="I1758" s="12"/>
      <c r="J1758" s="12"/>
      <c r="K1758" s="12"/>
      <c r="L1758" s="12"/>
      <c r="M1758" s="11"/>
      <c r="N1758" s="11"/>
      <c r="O1758" s="11"/>
      <c r="P1758" s="11"/>
    </row>
    <row r="1759" spans="8:16" x14ac:dyDescent="0.25">
      <c r="H1759" s="12"/>
      <c r="I1759" s="12"/>
      <c r="J1759" s="12"/>
      <c r="K1759" s="12"/>
      <c r="L1759" s="12"/>
      <c r="M1759" s="11"/>
      <c r="N1759" s="11"/>
      <c r="O1759" s="11"/>
      <c r="P1759" s="11"/>
    </row>
    <row r="1760" spans="8:16" x14ac:dyDescent="0.25">
      <c r="H1760" s="12"/>
      <c r="I1760" s="12"/>
      <c r="J1760" s="12"/>
      <c r="K1760" s="12"/>
      <c r="L1760" s="12"/>
      <c r="M1760" s="11"/>
      <c r="N1760" s="11"/>
      <c r="O1760" s="11"/>
      <c r="P1760" s="11"/>
    </row>
    <row r="1761" spans="8:16" x14ac:dyDescent="0.25">
      <c r="H1761" s="12"/>
      <c r="I1761" s="12"/>
      <c r="J1761" s="12"/>
      <c r="K1761" s="12"/>
      <c r="L1761" s="12"/>
      <c r="M1761" s="11"/>
      <c r="N1761" s="11"/>
      <c r="O1761" s="11"/>
      <c r="P1761" s="11"/>
    </row>
    <row r="1762" spans="8:16" x14ac:dyDescent="0.25">
      <c r="H1762" s="12"/>
      <c r="I1762" s="12"/>
      <c r="J1762" s="12"/>
      <c r="K1762" s="12"/>
      <c r="L1762" s="12"/>
      <c r="M1762" s="11"/>
      <c r="N1762" s="11"/>
      <c r="O1762" s="11"/>
      <c r="P1762" s="11"/>
    </row>
    <row r="1763" spans="8:16" x14ac:dyDescent="0.25">
      <c r="H1763" s="12"/>
      <c r="I1763" s="12"/>
      <c r="J1763" s="12"/>
      <c r="K1763" s="12"/>
      <c r="L1763" s="12"/>
      <c r="M1763" s="11"/>
      <c r="N1763" s="11"/>
      <c r="O1763" s="11"/>
      <c r="P1763" s="11"/>
    </row>
    <row r="1764" spans="8:16" x14ac:dyDescent="0.25">
      <c r="H1764" s="12"/>
      <c r="I1764" s="12"/>
      <c r="J1764" s="12"/>
      <c r="K1764" s="12"/>
      <c r="L1764" s="12"/>
      <c r="M1764" s="11"/>
      <c r="N1764" s="11"/>
      <c r="O1764" s="11"/>
      <c r="P1764" s="11"/>
    </row>
    <row r="1765" spans="8:16" x14ac:dyDescent="0.25">
      <c r="H1765" s="12"/>
      <c r="I1765" s="12"/>
      <c r="J1765" s="12"/>
      <c r="K1765" s="12"/>
      <c r="L1765" s="12"/>
      <c r="M1765" s="11"/>
      <c r="N1765" s="11"/>
      <c r="O1765" s="11"/>
      <c r="P1765" s="11"/>
    </row>
    <row r="1766" spans="8:16" x14ac:dyDescent="0.25">
      <c r="H1766" s="12"/>
      <c r="I1766" s="12"/>
      <c r="J1766" s="12"/>
      <c r="K1766" s="12"/>
      <c r="L1766" s="12"/>
      <c r="M1766" s="11"/>
      <c r="N1766" s="11"/>
      <c r="O1766" s="11"/>
      <c r="P1766" s="11"/>
    </row>
    <row r="1767" spans="8:16" x14ac:dyDescent="0.25">
      <c r="H1767" s="12"/>
      <c r="I1767" s="12"/>
      <c r="J1767" s="12"/>
      <c r="K1767" s="12"/>
      <c r="L1767" s="12"/>
      <c r="M1767" s="11"/>
      <c r="N1767" s="11"/>
      <c r="O1767" s="11"/>
      <c r="P1767" s="11"/>
    </row>
    <row r="1768" spans="8:16" x14ac:dyDescent="0.25">
      <c r="H1768" s="12"/>
      <c r="I1768" s="12"/>
      <c r="J1768" s="12"/>
      <c r="K1768" s="12"/>
      <c r="L1768" s="12"/>
      <c r="M1768" s="11"/>
      <c r="N1768" s="11"/>
      <c r="O1768" s="11"/>
      <c r="P1768" s="11"/>
    </row>
    <row r="1769" spans="8:16" x14ac:dyDescent="0.25">
      <c r="H1769" s="12"/>
      <c r="I1769" s="12"/>
      <c r="J1769" s="12"/>
      <c r="K1769" s="12"/>
      <c r="L1769" s="12"/>
      <c r="M1769" s="11"/>
      <c r="N1769" s="11"/>
      <c r="O1769" s="11"/>
      <c r="P1769" s="11"/>
    </row>
    <row r="1770" spans="8:16" x14ac:dyDescent="0.25">
      <c r="H1770" s="12"/>
      <c r="I1770" s="12"/>
      <c r="J1770" s="12"/>
      <c r="K1770" s="12"/>
      <c r="L1770" s="12"/>
      <c r="M1770" s="11"/>
      <c r="N1770" s="11"/>
      <c r="O1770" s="11"/>
      <c r="P1770" s="11"/>
    </row>
    <row r="1771" spans="8:16" x14ac:dyDescent="0.25">
      <c r="H1771" s="12"/>
      <c r="I1771" s="12"/>
      <c r="J1771" s="12"/>
      <c r="K1771" s="12"/>
      <c r="L1771" s="12"/>
      <c r="M1771" s="11"/>
      <c r="N1771" s="11"/>
      <c r="O1771" s="11"/>
      <c r="P1771" s="11"/>
    </row>
    <row r="1772" spans="8:16" x14ac:dyDescent="0.25">
      <c r="H1772" s="12"/>
      <c r="I1772" s="12"/>
      <c r="J1772" s="12"/>
      <c r="K1772" s="12"/>
      <c r="L1772" s="12"/>
      <c r="M1772" s="11"/>
      <c r="N1772" s="11"/>
      <c r="O1772" s="11"/>
      <c r="P1772" s="11"/>
    </row>
    <row r="1773" spans="8:16" x14ac:dyDescent="0.25">
      <c r="H1773" s="12"/>
      <c r="I1773" s="12"/>
      <c r="J1773" s="12"/>
      <c r="K1773" s="12"/>
      <c r="L1773" s="12"/>
      <c r="M1773" s="11"/>
      <c r="N1773" s="11"/>
      <c r="O1773" s="11"/>
      <c r="P1773" s="11"/>
    </row>
    <row r="1774" spans="8:16" x14ac:dyDescent="0.25">
      <c r="H1774" s="12"/>
      <c r="I1774" s="12"/>
      <c r="J1774" s="12"/>
      <c r="K1774" s="12"/>
      <c r="L1774" s="12"/>
      <c r="M1774" s="11"/>
      <c r="N1774" s="11"/>
      <c r="O1774" s="11"/>
      <c r="P1774" s="11"/>
    </row>
    <row r="1775" spans="8:16" x14ac:dyDescent="0.25">
      <c r="H1775" s="12"/>
      <c r="I1775" s="12"/>
      <c r="J1775" s="12"/>
      <c r="K1775" s="12"/>
      <c r="L1775" s="12"/>
      <c r="M1775" s="11"/>
      <c r="N1775" s="11"/>
      <c r="O1775" s="11"/>
      <c r="P1775" s="11"/>
    </row>
    <row r="1776" spans="8:16" x14ac:dyDescent="0.25">
      <c r="H1776" s="12"/>
      <c r="I1776" s="12"/>
      <c r="J1776" s="12"/>
      <c r="K1776" s="12"/>
      <c r="L1776" s="12"/>
      <c r="M1776" s="11"/>
      <c r="N1776" s="11"/>
      <c r="O1776" s="11"/>
      <c r="P1776" s="11"/>
    </row>
    <row r="1777" spans="8:16" x14ac:dyDescent="0.25">
      <c r="H1777" s="12"/>
      <c r="I1777" s="12"/>
      <c r="J1777" s="12"/>
      <c r="K1777" s="12"/>
      <c r="L1777" s="12"/>
      <c r="M1777" s="11"/>
      <c r="N1777" s="11"/>
      <c r="O1777" s="11"/>
      <c r="P1777" s="11"/>
    </row>
    <row r="1778" spans="8:16" x14ac:dyDescent="0.25">
      <c r="H1778" s="12"/>
      <c r="I1778" s="12"/>
      <c r="J1778" s="12"/>
      <c r="K1778" s="12"/>
      <c r="L1778" s="12"/>
      <c r="M1778" s="11"/>
      <c r="N1778" s="11"/>
      <c r="O1778" s="11"/>
      <c r="P1778" s="11"/>
    </row>
    <row r="1779" spans="8:16" x14ac:dyDescent="0.25">
      <c r="H1779" s="12"/>
      <c r="I1779" s="12"/>
      <c r="J1779" s="12"/>
      <c r="K1779" s="12"/>
      <c r="L1779" s="12"/>
      <c r="M1779" s="11"/>
      <c r="N1779" s="11"/>
      <c r="O1779" s="11"/>
      <c r="P1779" s="11"/>
    </row>
    <row r="1780" spans="8:16" x14ac:dyDescent="0.25">
      <c r="H1780" s="12"/>
      <c r="I1780" s="12"/>
      <c r="J1780" s="12"/>
      <c r="K1780" s="12"/>
      <c r="L1780" s="12"/>
      <c r="M1780" s="11"/>
      <c r="N1780" s="11"/>
      <c r="O1780" s="11"/>
      <c r="P1780" s="11"/>
    </row>
    <row r="1781" spans="8:16" x14ac:dyDescent="0.25">
      <c r="H1781" s="12"/>
      <c r="I1781" s="12"/>
      <c r="J1781" s="12"/>
      <c r="K1781" s="12"/>
      <c r="L1781" s="12"/>
      <c r="M1781" s="11"/>
      <c r="N1781" s="11"/>
      <c r="O1781" s="11"/>
      <c r="P1781" s="11"/>
    </row>
    <row r="1782" spans="8:16" x14ac:dyDescent="0.25">
      <c r="H1782" s="12"/>
      <c r="I1782" s="12"/>
      <c r="J1782" s="12"/>
      <c r="K1782" s="12"/>
      <c r="L1782" s="12"/>
      <c r="M1782" s="11"/>
      <c r="N1782" s="11"/>
      <c r="O1782" s="11"/>
      <c r="P1782" s="11"/>
    </row>
    <row r="1783" spans="8:16" x14ac:dyDescent="0.25">
      <c r="H1783" s="12"/>
      <c r="I1783" s="12"/>
      <c r="J1783" s="12"/>
      <c r="K1783" s="12"/>
      <c r="L1783" s="12"/>
      <c r="M1783" s="11"/>
      <c r="N1783" s="11"/>
      <c r="O1783" s="11"/>
      <c r="P1783" s="11"/>
    </row>
    <row r="1784" spans="8:16" x14ac:dyDescent="0.25">
      <c r="H1784" s="12"/>
      <c r="I1784" s="12"/>
      <c r="J1784" s="12"/>
      <c r="K1784" s="12"/>
      <c r="L1784" s="12"/>
      <c r="M1784" s="11"/>
      <c r="N1784" s="11"/>
      <c r="O1784" s="11"/>
      <c r="P1784" s="11"/>
    </row>
    <row r="1785" spans="8:16" x14ac:dyDescent="0.25">
      <c r="H1785" s="12"/>
      <c r="I1785" s="12"/>
      <c r="J1785" s="12"/>
      <c r="K1785" s="12"/>
      <c r="L1785" s="12"/>
      <c r="M1785" s="11"/>
      <c r="N1785" s="11"/>
      <c r="O1785" s="11"/>
      <c r="P1785" s="11"/>
    </row>
    <row r="1786" spans="8:16" x14ac:dyDescent="0.25">
      <c r="H1786" s="12"/>
      <c r="I1786" s="12"/>
      <c r="J1786" s="12"/>
      <c r="K1786" s="12"/>
      <c r="L1786" s="12"/>
      <c r="M1786" s="11"/>
      <c r="N1786" s="11"/>
      <c r="O1786" s="11"/>
      <c r="P1786" s="11"/>
    </row>
    <row r="1787" spans="8:16" x14ac:dyDescent="0.25">
      <c r="H1787" s="12"/>
      <c r="I1787" s="12"/>
      <c r="J1787" s="12"/>
      <c r="K1787" s="12"/>
      <c r="L1787" s="12"/>
      <c r="M1787" s="11"/>
      <c r="N1787" s="11"/>
      <c r="O1787" s="11"/>
      <c r="P1787" s="11"/>
    </row>
    <row r="1788" spans="8:16" x14ac:dyDescent="0.25">
      <c r="H1788" s="12"/>
      <c r="I1788" s="12"/>
      <c r="J1788" s="12"/>
      <c r="K1788" s="12"/>
      <c r="L1788" s="12"/>
      <c r="M1788" s="11"/>
      <c r="N1788" s="11"/>
      <c r="O1788" s="11"/>
      <c r="P1788" s="11"/>
    </row>
    <row r="1789" spans="8:16" x14ac:dyDescent="0.25">
      <c r="H1789" s="12"/>
      <c r="I1789" s="12"/>
      <c r="J1789" s="12"/>
      <c r="K1789" s="12"/>
      <c r="L1789" s="12"/>
      <c r="M1789" s="11"/>
      <c r="N1789" s="11"/>
      <c r="O1789" s="11"/>
      <c r="P1789" s="11"/>
    </row>
    <row r="1790" spans="8:16" x14ac:dyDescent="0.25">
      <c r="H1790" s="12"/>
      <c r="I1790" s="12"/>
      <c r="J1790" s="12"/>
      <c r="K1790" s="12"/>
      <c r="L1790" s="12"/>
      <c r="M1790" s="11"/>
      <c r="N1790" s="11"/>
      <c r="O1790" s="11"/>
      <c r="P1790" s="11"/>
    </row>
    <row r="1791" spans="8:16" x14ac:dyDescent="0.25">
      <c r="H1791" s="12"/>
      <c r="I1791" s="12"/>
      <c r="J1791" s="12"/>
      <c r="K1791" s="12"/>
      <c r="L1791" s="12"/>
      <c r="M1791" s="11"/>
      <c r="N1791" s="11"/>
      <c r="O1791" s="11"/>
      <c r="P1791" s="11"/>
    </row>
    <row r="1792" spans="8:16" x14ac:dyDescent="0.25">
      <c r="H1792" s="12"/>
      <c r="I1792" s="12"/>
      <c r="J1792" s="12"/>
      <c r="K1792" s="12"/>
      <c r="L1792" s="12"/>
      <c r="M1792" s="11"/>
      <c r="N1792" s="11"/>
      <c r="O1792" s="11"/>
      <c r="P1792" s="11"/>
    </row>
    <row r="1793" spans="8:16" x14ac:dyDescent="0.25">
      <c r="H1793" s="12"/>
      <c r="I1793" s="12"/>
      <c r="J1793" s="12"/>
      <c r="K1793" s="12"/>
      <c r="L1793" s="12"/>
      <c r="M1793" s="11"/>
      <c r="N1793" s="11"/>
      <c r="O1793" s="11"/>
      <c r="P1793" s="11"/>
    </row>
    <row r="1794" spans="8:16" x14ac:dyDescent="0.25">
      <c r="H1794" s="12"/>
      <c r="I1794" s="12"/>
      <c r="J1794" s="12"/>
      <c r="K1794" s="12"/>
      <c r="L1794" s="12"/>
      <c r="M1794" s="11"/>
      <c r="N1794" s="11"/>
      <c r="O1794" s="11"/>
      <c r="P1794" s="11"/>
    </row>
    <row r="1795" spans="8:16" x14ac:dyDescent="0.25">
      <c r="H1795" s="12"/>
      <c r="I1795" s="12"/>
      <c r="J1795" s="12"/>
      <c r="K1795" s="12"/>
      <c r="L1795" s="12"/>
      <c r="M1795" s="11"/>
      <c r="N1795" s="11"/>
      <c r="O1795" s="11"/>
      <c r="P1795" s="11"/>
    </row>
    <row r="1796" spans="8:16" x14ac:dyDescent="0.25">
      <c r="H1796" s="12"/>
      <c r="I1796" s="12"/>
      <c r="J1796" s="12"/>
      <c r="K1796" s="12"/>
      <c r="L1796" s="12"/>
      <c r="M1796" s="11"/>
      <c r="N1796" s="11"/>
      <c r="O1796" s="11"/>
      <c r="P1796" s="11"/>
    </row>
    <row r="1797" spans="8:16" x14ac:dyDescent="0.25">
      <c r="H1797" s="12"/>
      <c r="I1797" s="12"/>
      <c r="J1797" s="12"/>
      <c r="K1797" s="12"/>
      <c r="L1797" s="12"/>
      <c r="M1797" s="11"/>
      <c r="N1797" s="11"/>
      <c r="O1797" s="11"/>
      <c r="P1797" s="11"/>
    </row>
    <row r="1798" spans="8:16" x14ac:dyDescent="0.25">
      <c r="H1798" s="12"/>
      <c r="I1798" s="12"/>
      <c r="J1798" s="12"/>
      <c r="K1798" s="12"/>
      <c r="L1798" s="12"/>
      <c r="M1798" s="11"/>
      <c r="N1798" s="11"/>
      <c r="O1798" s="11"/>
      <c r="P1798" s="11"/>
    </row>
    <row r="1799" spans="8:16" x14ac:dyDescent="0.25">
      <c r="H1799" s="12"/>
      <c r="I1799" s="12"/>
      <c r="J1799" s="12"/>
      <c r="K1799" s="12"/>
      <c r="L1799" s="12"/>
      <c r="M1799" s="11"/>
      <c r="N1799" s="11"/>
      <c r="O1799" s="11"/>
      <c r="P1799" s="11"/>
    </row>
    <row r="1800" spans="8:16" x14ac:dyDescent="0.25">
      <c r="H1800" s="12"/>
      <c r="I1800" s="12"/>
      <c r="J1800" s="12"/>
      <c r="K1800" s="12"/>
      <c r="L1800" s="12"/>
      <c r="M1800" s="11"/>
      <c r="N1800" s="11"/>
      <c r="O1800" s="11"/>
      <c r="P1800" s="11"/>
    </row>
    <row r="1801" spans="8:16" x14ac:dyDescent="0.25">
      <c r="H1801" s="12"/>
      <c r="I1801" s="12"/>
      <c r="J1801" s="12"/>
      <c r="K1801" s="12"/>
      <c r="L1801" s="12"/>
      <c r="M1801" s="11"/>
      <c r="N1801" s="11"/>
      <c r="O1801" s="11"/>
      <c r="P1801" s="11"/>
    </row>
    <row r="1802" spans="8:16" x14ac:dyDescent="0.25">
      <c r="H1802" s="12"/>
      <c r="I1802" s="12"/>
      <c r="J1802" s="12"/>
      <c r="K1802" s="12"/>
      <c r="L1802" s="12"/>
      <c r="M1802" s="11"/>
      <c r="N1802" s="11"/>
      <c r="O1802" s="11"/>
      <c r="P1802" s="11"/>
    </row>
    <row r="1803" spans="8:16" x14ac:dyDescent="0.25">
      <c r="H1803" s="12"/>
      <c r="I1803" s="12"/>
      <c r="J1803" s="12"/>
      <c r="K1803" s="12"/>
      <c r="L1803" s="12"/>
      <c r="M1803" s="11"/>
      <c r="N1803" s="11"/>
      <c r="O1803" s="11"/>
      <c r="P1803" s="11"/>
    </row>
    <row r="1804" spans="8:16" x14ac:dyDescent="0.25">
      <c r="H1804" s="12"/>
      <c r="I1804" s="12"/>
      <c r="J1804" s="12"/>
      <c r="K1804" s="12"/>
      <c r="L1804" s="12"/>
      <c r="M1804" s="11"/>
      <c r="N1804" s="11"/>
      <c r="O1804" s="11"/>
      <c r="P1804" s="11"/>
    </row>
    <row r="1805" spans="8:16" x14ac:dyDescent="0.25">
      <c r="H1805" s="12"/>
      <c r="I1805" s="12"/>
      <c r="J1805" s="12"/>
      <c r="K1805" s="12"/>
      <c r="L1805" s="12"/>
      <c r="M1805" s="11"/>
      <c r="N1805" s="11"/>
      <c r="O1805" s="11"/>
      <c r="P1805" s="11"/>
    </row>
    <row r="1806" spans="8:16" x14ac:dyDescent="0.25">
      <c r="H1806" s="12"/>
      <c r="I1806" s="12"/>
      <c r="J1806" s="12"/>
      <c r="K1806" s="12"/>
      <c r="L1806" s="12"/>
      <c r="M1806" s="11"/>
      <c r="N1806" s="11"/>
      <c r="O1806" s="11"/>
      <c r="P1806" s="11"/>
    </row>
    <row r="1807" spans="8:16" x14ac:dyDescent="0.25">
      <c r="H1807" s="12"/>
      <c r="I1807" s="12"/>
      <c r="J1807" s="12"/>
      <c r="K1807" s="12"/>
      <c r="L1807" s="12"/>
      <c r="M1807" s="11"/>
      <c r="N1807" s="11"/>
      <c r="O1807" s="11"/>
      <c r="P1807" s="11"/>
    </row>
    <row r="1808" spans="8:16" x14ac:dyDescent="0.25">
      <c r="H1808" s="12"/>
      <c r="I1808" s="12"/>
      <c r="J1808" s="12"/>
      <c r="K1808" s="12"/>
      <c r="L1808" s="12"/>
      <c r="M1808" s="11"/>
      <c r="N1808" s="11"/>
      <c r="O1808" s="11"/>
      <c r="P1808" s="11"/>
    </row>
    <row r="1809" spans="8:16" x14ac:dyDescent="0.25">
      <c r="H1809" s="12"/>
      <c r="I1809" s="12"/>
      <c r="J1809" s="12"/>
      <c r="K1809" s="12"/>
      <c r="L1809" s="12"/>
      <c r="M1809" s="11"/>
      <c r="N1809" s="11"/>
      <c r="O1809" s="11"/>
      <c r="P1809" s="11"/>
    </row>
    <row r="1810" spans="8:16" x14ac:dyDescent="0.25">
      <c r="H1810" s="12"/>
      <c r="I1810" s="12"/>
      <c r="J1810" s="12"/>
      <c r="K1810" s="12"/>
      <c r="L1810" s="12"/>
      <c r="M1810" s="11"/>
      <c r="N1810" s="11"/>
      <c r="O1810" s="11"/>
      <c r="P1810" s="11"/>
    </row>
    <row r="1811" spans="8:16" x14ac:dyDescent="0.25">
      <c r="H1811" s="12"/>
      <c r="I1811" s="12"/>
      <c r="J1811" s="12"/>
      <c r="K1811" s="12"/>
      <c r="L1811" s="12"/>
      <c r="M1811" s="11"/>
      <c r="N1811" s="11"/>
      <c r="O1811" s="11"/>
      <c r="P1811" s="11"/>
    </row>
    <row r="1812" spans="8:16" x14ac:dyDescent="0.25">
      <c r="H1812" s="12"/>
      <c r="I1812" s="12"/>
      <c r="J1812" s="12"/>
      <c r="K1812" s="12"/>
      <c r="L1812" s="12"/>
      <c r="M1812" s="11"/>
      <c r="N1812" s="11"/>
      <c r="O1812" s="11"/>
      <c r="P1812" s="11"/>
    </row>
    <row r="1813" spans="8:16" x14ac:dyDescent="0.25">
      <c r="H1813" s="12"/>
      <c r="I1813" s="12"/>
      <c r="J1813" s="12"/>
      <c r="K1813" s="12"/>
      <c r="L1813" s="12"/>
      <c r="M1813" s="11"/>
      <c r="N1813" s="11"/>
      <c r="O1813" s="11"/>
      <c r="P1813" s="11"/>
    </row>
    <row r="1814" spans="8:16" x14ac:dyDescent="0.25">
      <c r="H1814" s="12"/>
      <c r="I1814" s="12"/>
      <c r="J1814" s="12"/>
      <c r="K1814" s="12"/>
      <c r="L1814" s="12"/>
      <c r="M1814" s="11"/>
      <c r="N1814" s="11"/>
      <c r="O1814" s="11"/>
      <c r="P1814" s="11"/>
    </row>
    <row r="1815" spans="8:16" x14ac:dyDescent="0.25">
      <c r="H1815" s="12"/>
      <c r="I1815" s="12"/>
      <c r="J1815" s="12"/>
      <c r="K1815" s="12"/>
      <c r="L1815" s="12"/>
      <c r="M1815" s="11"/>
      <c r="N1815" s="11"/>
      <c r="O1815" s="11"/>
      <c r="P1815" s="11"/>
    </row>
    <row r="1816" spans="8:16" x14ac:dyDescent="0.25">
      <c r="H1816" s="12"/>
      <c r="I1816" s="12"/>
      <c r="J1816" s="12"/>
      <c r="K1816" s="12"/>
      <c r="L1816" s="12"/>
      <c r="M1816" s="11"/>
      <c r="N1816" s="11"/>
      <c r="O1816" s="11"/>
      <c r="P1816" s="11"/>
    </row>
    <row r="1817" spans="8:16" x14ac:dyDescent="0.25">
      <c r="H1817" s="12"/>
      <c r="I1817" s="12"/>
      <c r="J1817" s="12"/>
      <c r="K1817" s="12"/>
      <c r="L1817" s="12"/>
      <c r="M1817" s="11"/>
      <c r="N1817" s="11"/>
      <c r="O1817" s="11"/>
      <c r="P1817" s="11"/>
    </row>
    <row r="1818" spans="8:16" x14ac:dyDescent="0.25">
      <c r="H1818" s="12"/>
      <c r="I1818" s="12"/>
      <c r="J1818" s="12"/>
      <c r="K1818" s="12"/>
      <c r="L1818" s="12"/>
      <c r="M1818" s="11"/>
      <c r="N1818" s="11"/>
      <c r="O1818" s="11"/>
      <c r="P1818" s="11"/>
    </row>
    <row r="1819" spans="8:16" x14ac:dyDescent="0.25">
      <c r="H1819" s="12"/>
      <c r="I1819" s="12"/>
      <c r="J1819" s="12"/>
      <c r="K1819" s="12"/>
      <c r="L1819" s="12"/>
      <c r="M1819" s="11"/>
      <c r="N1819" s="11"/>
      <c r="O1819" s="11"/>
      <c r="P1819" s="11"/>
    </row>
    <row r="1820" spans="8:16" x14ac:dyDescent="0.25">
      <c r="H1820" s="12"/>
      <c r="I1820" s="12"/>
      <c r="J1820" s="12"/>
      <c r="K1820" s="12"/>
      <c r="L1820" s="12"/>
      <c r="M1820" s="11"/>
      <c r="N1820" s="11"/>
      <c r="O1820" s="11"/>
      <c r="P1820" s="11"/>
    </row>
    <row r="1821" spans="8:16" x14ac:dyDescent="0.25">
      <c r="H1821" s="12"/>
      <c r="I1821" s="12"/>
      <c r="J1821" s="12"/>
      <c r="K1821" s="12"/>
      <c r="L1821" s="12"/>
      <c r="M1821" s="11"/>
      <c r="N1821" s="11"/>
      <c r="O1821" s="11"/>
      <c r="P1821" s="11"/>
    </row>
    <row r="1822" spans="8:16" x14ac:dyDescent="0.25">
      <c r="H1822" s="12"/>
      <c r="I1822" s="12"/>
      <c r="J1822" s="12"/>
      <c r="K1822" s="12"/>
      <c r="L1822" s="12"/>
      <c r="M1822" s="11"/>
      <c r="N1822" s="11"/>
      <c r="O1822" s="11"/>
      <c r="P1822" s="11"/>
    </row>
    <row r="1823" spans="8:16" x14ac:dyDescent="0.25">
      <c r="H1823" s="12"/>
      <c r="I1823" s="12"/>
      <c r="J1823" s="12"/>
      <c r="K1823" s="12"/>
      <c r="L1823" s="12"/>
      <c r="M1823" s="11"/>
      <c r="N1823" s="11"/>
      <c r="O1823" s="11"/>
      <c r="P1823" s="11"/>
    </row>
    <row r="1824" spans="8:16" x14ac:dyDescent="0.25">
      <c r="H1824" s="12"/>
      <c r="I1824" s="12"/>
      <c r="J1824" s="12"/>
      <c r="K1824" s="12"/>
      <c r="L1824" s="12"/>
      <c r="M1824" s="11"/>
      <c r="N1824" s="11"/>
      <c r="O1824" s="11"/>
      <c r="P1824" s="11"/>
    </row>
    <row r="1825" spans="8:16" x14ac:dyDescent="0.25">
      <c r="H1825" s="12"/>
      <c r="I1825" s="12"/>
      <c r="J1825" s="12"/>
      <c r="K1825" s="12"/>
      <c r="L1825" s="12"/>
      <c r="M1825" s="11"/>
      <c r="N1825" s="11"/>
      <c r="O1825" s="11"/>
      <c r="P1825" s="11"/>
    </row>
    <row r="1826" spans="8:16" x14ac:dyDescent="0.25">
      <c r="H1826" s="12"/>
      <c r="I1826" s="12"/>
      <c r="J1826" s="12"/>
      <c r="K1826" s="12"/>
      <c r="L1826" s="12"/>
      <c r="M1826" s="11"/>
      <c r="N1826" s="11"/>
      <c r="O1826" s="11"/>
      <c r="P1826" s="11"/>
    </row>
    <row r="1827" spans="8:16" x14ac:dyDescent="0.25">
      <c r="H1827" s="12"/>
      <c r="I1827" s="12"/>
      <c r="J1827" s="12"/>
      <c r="K1827" s="12"/>
      <c r="L1827" s="12"/>
      <c r="M1827" s="11"/>
      <c r="N1827" s="11"/>
      <c r="O1827" s="11"/>
      <c r="P1827" s="11"/>
    </row>
    <row r="1828" spans="8:16" x14ac:dyDescent="0.25">
      <c r="H1828" s="12"/>
      <c r="I1828" s="12"/>
      <c r="J1828" s="12"/>
      <c r="K1828" s="12"/>
      <c r="L1828" s="12"/>
      <c r="M1828" s="11"/>
      <c r="N1828" s="11"/>
      <c r="O1828" s="11"/>
      <c r="P1828" s="11"/>
    </row>
    <row r="1829" spans="8:16" x14ac:dyDescent="0.25">
      <c r="H1829" s="12"/>
      <c r="I1829" s="12"/>
      <c r="J1829" s="12"/>
      <c r="K1829" s="12"/>
      <c r="L1829" s="12"/>
      <c r="M1829" s="11"/>
      <c r="N1829" s="11"/>
      <c r="O1829" s="11"/>
      <c r="P1829" s="11"/>
    </row>
    <row r="1830" spans="8:16" x14ac:dyDescent="0.25">
      <c r="H1830" s="12"/>
      <c r="I1830" s="12"/>
      <c r="J1830" s="12"/>
      <c r="K1830" s="12"/>
      <c r="L1830" s="12"/>
      <c r="M1830" s="11"/>
      <c r="N1830" s="11"/>
      <c r="O1830" s="11"/>
      <c r="P1830" s="11"/>
    </row>
    <row r="1831" spans="8:16" x14ac:dyDescent="0.25">
      <c r="H1831" s="12"/>
      <c r="I1831" s="12"/>
      <c r="J1831" s="12"/>
      <c r="K1831" s="12"/>
      <c r="L1831" s="12"/>
      <c r="M1831" s="11"/>
      <c r="N1831" s="11"/>
      <c r="O1831" s="11"/>
      <c r="P1831" s="11"/>
    </row>
    <row r="1832" spans="8:16" x14ac:dyDescent="0.25">
      <c r="H1832" s="12"/>
      <c r="I1832" s="12"/>
      <c r="J1832" s="12"/>
      <c r="K1832" s="12"/>
      <c r="L1832" s="12"/>
      <c r="M1832" s="11"/>
      <c r="N1832" s="11"/>
      <c r="O1832" s="11"/>
      <c r="P1832" s="11"/>
    </row>
    <row r="1833" spans="8:16" x14ac:dyDescent="0.25">
      <c r="H1833" s="12"/>
      <c r="I1833" s="12"/>
      <c r="J1833" s="12"/>
      <c r="K1833" s="12"/>
      <c r="L1833" s="12"/>
      <c r="M1833" s="11"/>
      <c r="N1833" s="11"/>
      <c r="O1833" s="11"/>
      <c r="P1833" s="11"/>
    </row>
    <row r="1834" spans="8:16" x14ac:dyDescent="0.25">
      <c r="H1834" s="12"/>
      <c r="I1834" s="12"/>
      <c r="J1834" s="12"/>
      <c r="K1834" s="12"/>
      <c r="L1834" s="12"/>
      <c r="M1834" s="11"/>
      <c r="N1834" s="11"/>
      <c r="O1834" s="11"/>
      <c r="P1834" s="11"/>
    </row>
    <row r="1835" spans="8:16" x14ac:dyDescent="0.25">
      <c r="H1835" s="12"/>
      <c r="I1835" s="12"/>
      <c r="J1835" s="12"/>
      <c r="K1835" s="12"/>
      <c r="L1835" s="12"/>
      <c r="M1835" s="11"/>
      <c r="N1835" s="11"/>
      <c r="O1835" s="11"/>
      <c r="P1835" s="11"/>
    </row>
    <row r="1836" spans="8:16" x14ac:dyDescent="0.25">
      <c r="H1836" s="12"/>
      <c r="I1836" s="12"/>
      <c r="J1836" s="12"/>
      <c r="K1836" s="12"/>
      <c r="L1836" s="12"/>
      <c r="M1836" s="11"/>
      <c r="N1836" s="11"/>
      <c r="O1836" s="11"/>
      <c r="P1836" s="11"/>
    </row>
    <row r="1837" spans="8:16" x14ac:dyDescent="0.25">
      <c r="H1837" s="12"/>
      <c r="I1837" s="12"/>
      <c r="J1837" s="12"/>
      <c r="K1837" s="12"/>
      <c r="L1837" s="12"/>
      <c r="M1837" s="11"/>
      <c r="N1837" s="11"/>
      <c r="O1837" s="11"/>
      <c r="P1837" s="11"/>
    </row>
    <row r="1838" spans="8:16" x14ac:dyDescent="0.25">
      <c r="H1838" s="12"/>
      <c r="I1838" s="12"/>
      <c r="J1838" s="12"/>
      <c r="K1838" s="12"/>
      <c r="L1838" s="12"/>
      <c r="M1838" s="11"/>
      <c r="N1838" s="11"/>
      <c r="O1838" s="11"/>
      <c r="P1838" s="11"/>
    </row>
    <row r="1839" spans="8:16" x14ac:dyDescent="0.25">
      <c r="H1839" s="12"/>
      <c r="I1839" s="12"/>
      <c r="J1839" s="12"/>
      <c r="K1839" s="12"/>
      <c r="L1839" s="12"/>
      <c r="M1839" s="11"/>
      <c r="N1839" s="11"/>
      <c r="O1839" s="11"/>
      <c r="P1839" s="11"/>
    </row>
    <row r="1840" spans="8:16" x14ac:dyDescent="0.25">
      <c r="H1840" s="12"/>
      <c r="I1840" s="12"/>
      <c r="J1840" s="12"/>
      <c r="K1840" s="12"/>
      <c r="L1840" s="12"/>
      <c r="M1840" s="11"/>
      <c r="N1840" s="11"/>
      <c r="O1840" s="11"/>
      <c r="P1840" s="11"/>
    </row>
    <row r="1841" spans="8:16" x14ac:dyDescent="0.25">
      <c r="H1841" s="12"/>
      <c r="I1841" s="12"/>
      <c r="J1841" s="12"/>
      <c r="K1841" s="12"/>
      <c r="L1841" s="12"/>
      <c r="M1841" s="11"/>
      <c r="N1841" s="11"/>
      <c r="O1841" s="11"/>
      <c r="P1841" s="11"/>
    </row>
    <row r="1842" spans="8:16" x14ac:dyDescent="0.25">
      <c r="H1842" s="12"/>
      <c r="I1842" s="12"/>
      <c r="J1842" s="12"/>
      <c r="K1842" s="12"/>
      <c r="L1842" s="12"/>
      <c r="M1842" s="11"/>
      <c r="N1842" s="11"/>
      <c r="O1842" s="11"/>
      <c r="P1842" s="11"/>
    </row>
    <row r="1843" spans="8:16" x14ac:dyDescent="0.25">
      <c r="H1843" s="12"/>
      <c r="I1843" s="12"/>
      <c r="J1843" s="12"/>
      <c r="K1843" s="12"/>
      <c r="L1843" s="12"/>
      <c r="M1843" s="11"/>
      <c r="N1843" s="11"/>
      <c r="O1843" s="11"/>
      <c r="P1843" s="11"/>
    </row>
    <row r="1844" spans="8:16" x14ac:dyDescent="0.25">
      <c r="H1844" s="12"/>
      <c r="I1844" s="12"/>
      <c r="J1844" s="12"/>
      <c r="K1844" s="12"/>
      <c r="L1844" s="12"/>
      <c r="M1844" s="11"/>
      <c r="N1844" s="11"/>
      <c r="O1844" s="11"/>
      <c r="P1844" s="11"/>
    </row>
    <row r="1845" spans="8:16" x14ac:dyDescent="0.25">
      <c r="H1845" s="12"/>
      <c r="I1845" s="12"/>
      <c r="J1845" s="12"/>
      <c r="K1845" s="12"/>
      <c r="L1845" s="12"/>
      <c r="M1845" s="11"/>
      <c r="N1845" s="11"/>
      <c r="O1845" s="11"/>
      <c r="P1845" s="11"/>
    </row>
    <row r="1846" spans="8:16" x14ac:dyDescent="0.25">
      <c r="H1846" s="12"/>
      <c r="I1846" s="12"/>
      <c r="J1846" s="12"/>
      <c r="K1846" s="12"/>
      <c r="L1846" s="12"/>
      <c r="M1846" s="11"/>
      <c r="N1846" s="11"/>
      <c r="O1846" s="11"/>
      <c r="P1846" s="11"/>
    </row>
    <row r="1847" spans="8:16" x14ac:dyDescent="0.25">
      <c r="H1847" s="12"/>
      <c r="I1847" s="12"/>
      <c r="J1847" s="12"/>
      <c r="K1847" s="12"/>
      <c r="L1847" s="12"/>
      <c r="M1847" s="11"/>
      <c r="N1847" s="11"/>
      <c r="O1847" s="11"/>
      <c r="P1847" s="11"/>
    </row>
    <row r="1848" spans="8:16" x14ac:dyDescent="0.25">
      <c r="H1848" s="12"/>
      <c r="I1848" s="12"/>
      <c r="J1848" s="12"/>
      <c r="K1848" s="12"/>
      <c r="L1848" s="12"/>
      <c r="M1848" s="11"/>
      <c r="N1848" s="11"/>
      <c r="O1848" s="11"/>
      <c r="P1848" s="11"/>
    </row>
    <row r="1849" spans="8:16" x14ac:dyDescent="0.25">
      <c r="H1849" s="12"/>
      <c r="I1849" s="12"/>
      <c r="J1849" s="12"/>
      <c r="K1849" s="12"/>
      <c r="L1849" s="12"/>
      <c r="M1849" s="11"/>
      <c r="N1849" s="11"/>
      <c r="O1849" s="11"/>
      <c r="P1849" s="11"/>
    </row>
    <row r="1850" spans="8:16" x14ac:dyDescent="0.25">
      <c r="H1850" s="12"/>
      <c r="I1850" s="12"/>
      <c r="J1850" s="12"/>
      <c r="K1850" s="12"/>
      <c r="L1850" s="12"/>
      <c r="M1850" s="11"/>
      <c r="N1850" s="11"/>
      <c r="O1850" s="11"/>
      <c r="P1850" s="11"/>
    </row>
    <row r="1851" spans="8:16" x14ac:dyDescent="0.25">
      <c r="H1851" s="12"/>
      <c r="I1851" s="12"/>
      <c r="J1851" s="12"/>
      <c r="K1851" s="12"/>
      <c r="L1851" s="12"/>
      <c r="M1851" s="11"/>
      <c r="N1851" s="11"/>
      <c r="O1851" s="11"/>
      <c r="P1851" s="11"/>
    </row>
    <row r="1852" spans="8:16" x14ac:dyDescent="0.25">
      <c r="H1852" s="12"/>
      <c r="I1852" s="12"/>
      <c r="J1852" s="12"/>
      <c r="K1852" s="12"/>
      <c r="L1852" s="12"/>
      <c r="M1852" s="11"/>
      <c r="N1852" s="11"/>
      <c r="O1852" s="11"/>
      <c r="P1852" s="11"/>
    </row>
    <row r="1853" spans="8:16" x14ac:dyDescent="0.25">
      <c r="H1853" s="12"/>
      <c r="I1853" s="12"/>
      <c r="J1853" s="12"/>
      <c r="K1853" s="12"/>
      <c r="L1853" s="12"/>
      <c r="M1853" s="11"/>
      <c r="N1853" s="11"/>
      <c r="O1853" s="11"/>
      <c r="P1853" s="11"/>
    </row>
    <row r="1854" spans="8:16" x14ac:dyDescent="0.25">
      <c r="H1854" s="12"/>
      <c r="I1854" s="12"/>
      <c r="J1854" s="12"/>
      <c r="K1854" s="12"/>
      <c r="L1854" s="12"/>
      <c r="M1854" s="11"/>
      <c r="N1854" s="11"/>
      <c r="O1854" s="11"/>
      <c r="P1854" s="11"/>
    </row>
    <row r="1855" spans="8:16" x14ac:dyDescent="0.25">
      <c r="H1855" s="12"/>
      <c r="I1855" s="12"/>
      <c r="J1855" s="12"/>
      <c r="K1855" s="12"/>
      <c r="L1855" s="12"/>
      <c r="M1855" s="11"/>
      <c r="N1855" s="11"/>
      <c r="O1855" s="11"/>
      <c r="P1855" s="11"/>
    </row>
    <row r="1856" spans="8:16" x14ac:dyDescent="0.25">
      <c r="H1856" s="12"/>
      <c r="I1856" s="12"/>
      <c r="J1856" s="12"/>
      <c r="K1856" s="12"/>
      <c r="L1856" s="12"/>
      <c r="M1856" s="11"/>
      <c r="N1856" s="11"/>
      <c r="O1856" s="11"/>
      <c r="P1856" s="11"/>
    </row>
    <row r="1857" spans="8:16" x14ac:dyDescent="0.25">
      <c r="H1857" s="12"/>
      <c r="I1857" s="12"/>
      <c r="J1857" s="12"/>
      <c r="K1857" s="12"/>
      <c r="L1857" s="12"/>
      <c r="M1857" s="11"/>
      <c r="N1857" s="11"/>
      <c r="O1857" s="11"/>
      <c r="P1857" s="11"/>
    </row>
    <row r="1858" spans="8:16" x14ac:dyDescent="0.25">
      <c r="H1858" s="12"/>
      <c r="I1858" s="12"/>
      <c r="J1858" s="12"/>
      <c r="K1858" s="12"/>
      <c r="L1858" s="12"/>
      <c r="M1858" s="11"/>
      <c r="N1858" s="11"/>
      <c r="O1858" s="11"/>
      <c r="P1858" s="11"/>
    </row>
    <row r="1859" spans="8:16" x14ac:dyDescent="0.25">
      <c r="H1859" s="12"/>
      <c r="I1859" s="12"/>
      <c r="J1859" s="12"/>
      <c r="K1859" s="12"/>
      <c r="L1859" s="12"/>
      <c r="M1859" s="11"/>
      <c r="N1859" s="11"/>
      <c r="O1859" s="11"/>
      <c r="P1859" s="11"/>
    </row>
    <row r="1860" spans="8:16" x14ac:dyDescent="0.25">
      <c r="H1860" s="12"/>
      <c r="I1860" s="12"/>
      <c r="J1860" s="12"/>
      <c r="K1860" s="12"/>
      <c r="L1860" s="12"/>
      <c r="M1860" s="11"/>
      <c r="N1860" s="11"/>
      <c r="O1860" s="11"/>
      <c r="P1860" s="11"/>
    </row>
    <row r="1861" spans="8:16" x14ac:dyDescent="0.25">
      <c r="H1861" s="12"/>
      <c r="I1861" s="12"/>
      <c r="J1861" s="12"/>
      <c r="K1861" s="12"/>
      <c r="L1861" s="12"/>
      <c r="M1861" s="11"/>
      <c r="N1861" s="11"/>
      <c r="O1861" s="11"/>
      <c r="P1861" s="11"/>
    </row>
    <row r="1862" spans="8:16" x14ac:dyDescent="0.25">
      <c r="H1862" s="12"/>
      <c r="I1862" s="12"/>
      <c r="J1862" s="12"/>
      <c r="K1862" s="12"/>
      <c r="L1862" s="12"/>
      <c r="M1862" s="11"/>
      <c r="N1862" s="11"/>
      <c r="O1862" s="11"/>
      <c r="P1862" s="11"/>
    </row>
    <row r="1863" spans="8:16" x14ac:dyDescent="0.25">
      <c r="H1863" s="12"/>
      <c r="I1863" s="12"/>
      <c r="J1863" s="12"/>
      <c r="K1863" s="12"/>
      <c r="L1863" s="12"/>
      <c r="M1863" s="11"/>
      <c r="N1863" s="11"/>
      <c r="O1863" s="11"/>
      <c r="P1863" s="11"/>
    </row>
    <row r="1864" spans="8:16" x14ac:dyDescent="0.25">
      <c r="H1864" s="12"/>
      <c r="I1864" s="12"/>
      <c r="J1864" s="12"/>
      <c r="K1864" s="12"/>
      <c r="L1864" s="12"/>
      <c r="M1864" s="11"/>
      <c r="N1864" s="11"/>
      <c r="O1864" s="11"/>
      <c r="P1864" s="11"/>
    </row>
    <row r="1865" spans="8:16" x14ac:dyDescent="0.25">
      <c r="H1865" s="12"/>
      <c r="I1865" s="12"/>
      <c r="J1865" s="12"/>
      <c r="K1865" s="12"/>
      <c r="L1865" s="12"/>
      <c r="M1865" s="11"/>
      <c r="N1865" s="11"/>
      <c r="O1865" s="11"/>
      <c r="P1865" s="11"/>
    </row>
    <row r="1866" spans="8:16" x14ac:dyDescent="0.25">
      <c r="H1866" s="12"/>
      <c r="I1866" s="12"/>
      <c r="J1866" s="12"/>
      <c r="K1866" s="12"/>
      <c r="L1866" s="12"/>
      <c r="M1866" s="11"/>
      <c r="N1866" s="11"/>
      <c r="O1866" s="11"/>
      <c r="P1866" s="11"/>
    </row>
    <row r="1867" spans="8:16" x14ac:dyDescent="0.25">
      <c r="H1867" s="12"/>
      <c r="I1867" s="12"/>
      <c r="J1867" s="12"/>
      <c r="K1867" s="12"/>
      <c r="L1867" s="12"/>
      <c r="M1867" s="11"/>
      <c r="N1867" s="11"/>
      <c r="O1867" s="11"/>
      <c r="P1867" s="11"/>
    </row>
    <row r="1868" spans="8:16" x14ac:dyDescent="0.25">
      <c r="H1868" s="12"/>
      <c r="I1868" s="12"/>
      <c r="J1868" s="12"/>
      <c r="K1868" s="12"/>
      <c r="L1868" s="12"/>
      <c r="M1868" s="11"/>
      <c r="N1868" s="11"/>
      <c r="O1868" s="11"/>
      <c r="P1868" s="11"/>
    </row>
    <row r="1869" spans="8:16" x14ac:dyDescent="0.25">
      <c r="H1869" s="12"/>
      <c r="I1869" s="12"/>
      <c r="J1869" s="12"/>
      <c r="K1869" s="12"/>
      <c r="L1869" s="12"/>
      <c r="M1869" s="11"/>
      <c r="N1869" s="11"/>
      <c r="O1869" s="11"/>
      <c r="P1869" s="11"/>
    </row>
    <row r="1870" spans="8:16" x14ac:dyDescent="0.25">
      <c r="H1870" s="12"/>
      <c r="I1870" s="12"/>
      <c r="J1870" s="12"/>
      <c r="K1870" s="12"/>
      <c r="L1870" s="12"/>
      <c r="M1870" s="11"/>
      <c r="N1870" s="11"/>
      <c r="O1870" s="11"/>
      <c r="P1870" s="11"/>
    </row>
    <row r="1871" spans="8:16" x14ac:dyDescent="0.25">
      <c r="H1871" s="12"/>
      <c r="I1871" s="12"/>
      <c r="J1871" s="12"/>
      <c r="K1871" s="12"/>
      <c r="L1871" s="12"/>
      <c r="M1871" s="11"/>
      <c r="N1871" s="11"/>
      <c r="O1871" s="11"/>
      <c r="P1871" s="11"/>
    </row>
    <row r="1872" spans="8:16" x14ac:dyDescent="0.25">
      <c r="H1872" s="12"/>
      <c r="I1872" s="12"/>
      <c r="J1872" s="12"/>
      <c r="K1872" s="12"/>
      <c r="L1872" s="12"/>
      <c r="M1872" s="11"/>
      <c r="N1872" s="11"/>
      <c r="O1872" s="11"/>
      <c r="P1872" s="11"/>
    </row>
    <row r="1873" spans="8:16" x14ac:dyDescent="0.25">
      <c r="H1873" s="12"/>
      <c r="I1873" s="12"/>
      <c r="J1873" s="12"/>
      <c r="K1873" s="12"/>
      <c r="L1873" s="12"/>
      <c r="M1873" s="11"/>
      <c r="N1873" s="11"/>
      <c r="O1873" s="11"/>
      <c r="P1873" s="11"/>
    </row>
    <row r="1874" spans="8:16" x14ac:dyDescent="0.25">
      <c r="H1874" s="12"/>
      <c r="I1874" s="12"/>
      <c r="J1874" s="12"/>
      <c r="K1874" s="12"/>
      <c r="L1874" s="12"/>
      <c r="M1874" s="11"/>
      <c r="N1874" s="11"/>
      <c r="O1874" s="11"/>
      <c r="P1874" s="11"/>
    </row>
    <row r="1875" spans="8:16" x14ac:dyDescent="0.25">
      <c r="H1875" s="12"/>
      <c r="I1875" s="12"/>
      <c r="J1875" s="12"/>
      <c r="K1875" s="12"/>
      <c r="L1875" s="12"/>
      <c r="M1875" s="11"/>
      <c r="N1875" s="11"/>
      <c r="O1875" s="11"/>
      <c r="P1875" s="11"/>
    </row>
    <row r="1876" spans="8:16" x14ac:dyDescent="0.25">
      <c r="H1876" s="12"/>
      <c r="I1876" s="12"/>
      <c r="J1876" s="12"/>
      <c r="K1876" s="12"/>
      <c r="L1876" s="12"/>
      <c r="M1876" s="11"/>
      <c r="N1876" s="11"/>
      <c r="O1876" s="11"/>
      <c r="P1876" s="11"/>
    </row>
    <row r="1877" spans="8:16" x14ac:dyDescent="0.25">
      <c r="H1877" s="12"/>
      <c r="I1877" s="12"/>
      <c r="J1877" s="12"/>
      <c r="K1877" s="12"/>
      <c r="L1877" s="12"/>
      <c r="M1877" s="11"/>
      <c r="N1877" s="11"/>
      <c r="O1877" s="11"/>
      <c r="P1877" s="11"/>
    </row>
    <row r="1878" spans="8:16" x14ac:dyDescent="0.25">
      <c r="H1878" s="12"/>
      <c r="I1878" s="12"/>
      <c r="J1878" s="12"/>
      <c r="K1878" s="12"/>
      <c r="L1878" s="12"/>
      <c r="M1878" s="11"/>
      <c r="N1878" s="11"/>
      <c r="O1878" s="11"/>
      <c r="P1878" s="11"/>
    </row>
    <row r="1879" spans="8:16" x14ac:dyDescent="0.25">
      <c r="H1879" s="12"/>
      <c r="I1879" s="12"/>
      <c r="J1879" s="12"/>
      <c r="K1879" s="12"/>
      <c r="L1879" s="12"/>
      <c r="M1879" s="11"/>
      <c r="N1879" s="11"/>
      <c r="O1879" s="11"/>
      <c r="P1879" s="11"/>
    </row>
    <row r="1880" spans="8:16" x14ac:dyDescent="0.25">
      <c r="H1880" s="12"/>
      <c r="I1880" s="12"/>
      <c r="J1880" s="12"/>
      <c r="K1880" s="12"/>
      <c r="L1880" s="12"/>
      <c r="M1880" s="11"/>
      <c r="N1880" s="11"/>
      <c r="O1880" s="11"/>
      <c r="P1880" s="11"/>
    </row>
    <row r="1881" spans="8:16" x14ac:dyDescent="0.25">
      <c r="H1881" s="12"/>
      <c r="I1881" s="12"/>
      <c r="J1881" s="12"/>
      <c r="K1881" s="12"/>
      <c r="L1881" s="12"/>
      <c r="M1881" s="11"/>
      <c r="N1881" s="11"/>
      <c r="O1881" s="11"/>
      <c r="P1881" s="11"/>
    </row>
    <row r="1882" spans="8:16" x14ac:dyDescent="0.25">
      <c r="H1882" s="12"/>
      <c r="I1882" s="12"/>
      <c r="J1882" s="12"/>
      <c r="K1882" s="12"/>
      <c r="L1882" s="12"/>
      <c r="M1882" s="11"/>
      <c r="N1882" s="11"/>
      <c r="O1882" s="11"/>
      <c r="P1882" s="11"/>
    </row>
    <row r="1883" spans="8:16" x14ac:dyDescent="0.25">
      <c r="H1883" s="12"/>
      <c r="I1883" s="12"/>
      <c r="J1883" s="12"/>
      <c r="K1883" s="12"/>
      <c r="L1883" s="12"/>
      <c r="M1883" s="11"/>
      <c r="N1883" s="11"/>
      <c r="O1883" s="11"/>
      <c r="P1883" s="11"/>
    </row>
    <row r="1884" spans="8:16" x14ac:dyDescent="0.25">
      <c r="H1884" s="12"/>
      <c r="I1884" s="12"/>
      <c r="J1884" s="12"/>
      <c r="K1884" s="12"/>
      <c r="L1884" s="12"/>
      <c r="M1884" s="11"/>
      <c r="N1884" s="11"/>
      <c r="O1884" s="11"/>
      <c r="P1884" s="11"/>
    </row>
    <row r="1885" spans="8:16" x14ac:dyDescent="0.25">
      <c r="H1885" s="12"/>
      <c r="I1885" s="12"/>
      <c r="J1885" s="12"/>
      <c r="K1885" s="12"/>
      <c r="L1885" s="12"/>
      <c r="M1885" s="11"/>
      <c r="N1885" s="11"/>
      <c r="O1885" s="11"/>
      <c r="P1885" s="11"/>
    </row>
    <row r="1886" spans="8:16" x14ac:dyDescent="0.25">
      <c r="H1886" s="12"/>
      <c r="I1886" s="12"/>
      <c r="J1886" s="12"/>
      <c r="K1886" s="12"/>
      <c r="L1886" s="12"/>
      <c r="M1886" s="11"/>
      <c r="N1886" s="11"/>
      <c r="O1886" s="11"/>
      <c r="P1886" s="11"/>
    </row>
    <row r="1887" spans="8:16" x14ac:dyDescent="0.25">
      <c r="H1887" s="12"/>
      <c r="I1887" s="12"/>
      <c r="J1887" s="12"/>
      <c r="K1887" s="12"/>
      <c r="L1887" s="12"/>
      <c r="M1887" s="11"/>
      <c r="N1887" s="11"/>
      <c r="O1887" s="11"/>
      <c r="P1887" s="11"/>
    </row>
    <row r="1888" spans="8:16" x14ac:dyDescent="0.25">
      <c r="H1888" s="12"/>
      <c r="I1888" s="12"/>
      <c r="J1888" s="12"/>
      <c r="K1888" s="12"/>
      <c r="L1888" s="12"/>
      <c r="M1888" s="11"/>
      <c r="N1888" s="11"/>
      <c r="O1888" s="11"/>
      <c r="P1888" s="11"/>
    </row>
    <row r="1889" spans="8:16" x14ac:dyDescent="0.25">
      <c r="H1889" s="12"/>
      <c r="I1889" s="12"/>
      <c r="J1889" s="12"/>
      <c r="K1889" s="12"/>
      <c r="L1889" s="12"/>
      <c r="M1889" s="11"/>
      <c r="N1889" s="11"/>
      <c r="O1889" s="11"/>
      <c r="P1889" s="11"/>
    </row>
    <row r="1890" spans="8:16" x14ac:dyDescent="0.25">
      <c r="H1890" s="12"/>
      <c r="I1890" s="12"/>
      <c r="J1890" s="12"/>
      <c r="K1890" s="12"/>
      <c r="L1890" s="12"/>
      <c r="M1890" s="11"/>
      <c r="N1890" s="11"/>
      <c r="O1890" s="11"/>
      <c r="P1890" s="11"/>
    </row>
    <row r="1891" spans="8:16" x14ac:dyDescent="0.25">
      <c r="H1891" s="12"/>
      <c r="I1891" s="12"/>
      <c r="J1891" s="12"/>
      <c r="K1891" s="12"/>
      <c r="L1891" s="12"/>
      <c r="M1891" s="11"/>
      <c r="N1891" s="11"/>
      <c r="O1891" s="11"/>
      <c r="P1891" s="11"/>
    </row>
    <row r="1892" spans="8:16" x14ac:dyDescent="0.25">
      <c r="H1892" s="12"/>
      <c r="I1892" s="12"/>
      <c r="J1892" s="12"/>
      <c r="K1892" s="12"/>
      <c r="L1892" s="12"/>
      <c r="M1892" s="11"/>
      <c r="N1892" s="11"/>
      <c r="O1892" s="11"/>
      <c r="P1892" s="11"/>
    </row>
    <row r="1893" spans="8:16" x14ac:dyDescent="0.25">
      <c r="H1893" s="12"/>
      <c r="I1893" s="12"/>
      <c r="J1893" s="12"/>
      <c r="K1893" s="12"/>
      <c r="L1893" s="12"/>
      <c r="M1893" s="11"/>
      <c r="N1893" s="11"/>
      <c r="O1893" s="11"/>
      <c r="P1893" s="11"/>
    </row>
    <row r="1894" spans="8:16" x14ac:dyDescent="0.25">
      <c r="H1894" s="12"/>
      <c r="I1894" s="12"/>
      <c r="J1894" s="12"/>
      <c r="K1894" s="12"/>
      <c r="L1894" s="12"/>
      <c r="M1894" s="11"/>
      <c r="N1894" s="11"/>
      <c r="O1894" s="11"/>
      <c r="P1894" s="11"/>
    </row>
    <row r="1895" spans="8:16" x14ac:dyDescent="0.25">
      <c r="H1895" s="12"/>
      <c r="I1895" s="12"/>
      <c r="J1895" s="12"/>
      <c r="K1895" s="12"/>
      <c r="L1895" s="12"/>
      <c r="M1895" s="11"/>
      <c r="N1895" s="11"/>
      <c r="O1895" s="11"/>
      <c r="P1895" s="11"/>
    </row>
    <row r="1896" spans="8:16" x14ac:dyDescent="0.25">
      <c r="H1896" s="12"/>
      <c r="I1896" s="12"/>
      <c r="J1896" s="12"/>
      <c r="K1896" s="12"/>
      <c r="L1896" s="12"/>
      <c r="M1896" s="11"/>
      <c r="N1896" s="11"/>
      <c r="O1896" s="11"/>
      <c r="P1896" s="11"/>
    </row>
    <row r="1897" spans="8:16" x14ac:dyDescent="0.25">
      <c r="H1897" s="12"/>
      <c r="I1897" s="12"/>
      <c r="J1897" s="12"/>
      <c r="K1897" s="12"/>
      <c r="L1897" s="12"/>
      <c r="M1897" s="11"/>
      <c r="N1897" s="11"/>
      <c r="O1897" s="11"/>
      <c r="P1897" s="11"/>
    </row>
    <row r="1898" spans="8:16" x14ac:dyDescent="0.25">
      <c r="H1898" s="12"/>
      <c r="I1898" s="12"/>
      <c r="J1898" s="12"/>
      <c r="K1898" s="12"/>
      <c r="L1898" s="12"/>
      <c r="M1898" s="11"/>
      <c r="N1898" s="11"/>
      <c r="O1898" s="11"/>
      <c r="P1898" s="11"/>
    </row>
    <row r="1899" spans="8:16" x14ac:dyDescent="0.25">
      <c r="H1899" s="12"/>
      <c r="I1899" s="12"/>
      <c r="J1899" s="12"/>
      <c r="K1899" s="12"/>
      <c r="L1899" s="12"/>
      <c r="M1899" s="11"/>
      <c r="N1899" s="11"/>
      <c r="O1899" s="11"/>
      <c r="P1899" s="11"/>
    </row>
    <row r="1900" spans="8:16" x14ac:dyDescent="0.25">
      <c r="H1900" s="12"/>
      <c r="I1900" s="12"/>
      <c r="J1900" s="12"/>
      <c r="K1900" s="12"/>
      <c r="L1900" s="12"/>
      <c r="M1900" s="11"/>
      <c r="N1900" s="11"/>
      <c r="O1900" s="11"/>
      <c r="P1900" s="11"/>
    </row>
    <row r="1901" spans="8:16" x14ac:dyDescent="0.25">
      <c r="H1901" s="12"/>
      <c r="I1901" s="12"/>
      <c r="J1901" s="12"/>
      <c r="K1901" s="12"/>
      <c r="L1901" s="12"/>
      <c r="M1901" s="11"/>
      <c r="N1901" s="11"/>
      <c r="O1901" s="11"/>
      <c r="P1901" s="11"/>
    </row>
    <row r="1902" spans="8:16" x14ac:dyDescent="0.25">
      <c r="H1902" s="12"/>
      <c r="I1902" s="12"/>
      <c r="J1902" s="12"/>
      <c r="K1902" s="12"/>
      <c r="L1902" s="12"/>
      <c r="M1902" s="11"/>
      <c r="N1902" s="11"/>
      <c r="O1902" s="11"/>
      <c r="P1902" s="11"/>
    </row>
    <row r="1903" spans="8:16" x14ac:dyDescent="0.25">
      <c r="H1903" s="12"/>
      <c r="I1903" s="12"/>
      <c r="J1903" s="12"/>
      <c r="K1903" s="12"/>
      <c r="L1903" s="12"/>
      <c r="M1903" s="11"/>
      <c r="N1903" s="11"/>
      <c r="O1903" s="11"/>
      <c r="P1903" s="11"/>
    </row>
    <row r="1904" spans="8:16" x14ac:dyDescent="0.25">
      <c r="H1904" s="12"/>
      <c r="I1904" s="12"/>
      <c r="J1904" s="12"/>
      <c r="K1904" s="12"/>
      <c r="L1904" s="12"/>
      <c r="M1904" s="11"/>
      <c r="N1904" s="11"/>
      <c r="O1904" s="11"/>
      <c r="P1904" s="11"/>
    </row>
    <row r="1905" spans="8:16" x14ac:dyDescent="0.25">
      <c r="H1905" s="12"/>
      <c r="I1905" s="12"/>
      <c r="J1905" s="12"/>
      <c r="K1905" s="12"/>
      <c r="L1905" s="12"/>
      <c r="M1905" s="11"/>
      <c r="N1905" s="11"/>
      <c r="O1905" s="11"/>
      <c r="P1905" s="11"/>
    </row>
    <row r="1906" spans="8:16" x14ac:dyDescent="0.25">
      <c r="H1906" s="12"/>
      <c r="I1906" s="12"/>
      <c r="J1906" s="12"/>
      <c r="K1906" s="12"/>
      <c r="L1906" s="12"/>
      <c r="M1906" s="11"/>
      <c r="N1906" s="11"/>
      <c r="O1906" s="11"/>
      <c r="P1906" s="11"/>
    </row>
    <row r="1907" spans="8:16" x14ac:dyDescent="0.25">
      <c r="H1907" s="12"/>
      <c r="I1907" s="12"/>
      <c r="J1907" s="12"/>
      <c r="K1907" s="12"/>
      <c r="L1907" s="12"/>
      <c r="M1907" s="11"/>
      <c r="N1907" s="11"/>
      <c r="O1907" s="11"/>
      <c r="P1907" s="11"/>
    </row>
    <row r="1908" spans="8:16" x14ac:dyDescent="0.25">
      <c r="H1908" s="12"/>
      <c r="I1908" s="12"/>
      <c r="J1908" s="12"/>
      <c r="K1908" s="12"/>
      <c r="L1908" s="12"/>
      <c r="M1908" s="11"/>
      <c r="N1908" s="11"/>
      <c r="O1908" s="11"/>
      <c r="P1908" s="11"/>
    </row>
    <row r="1909" spans="8:16" x14ac:dyDescent="0.25">
      <c r="H1909" s="12"/>
      <c r="I1909" s="12"/>
      <c r="J1909" s="12"/>
      <c r="K1909" s="12"/>
      <c r="L1909" s="12"/>
      <c r="M1909" s="11"/>
      <c r="N1909" s="11"/>
      <c r="O1909" s="11"/>
      <c r="P1909" s="11"/>
    </row>
    <row r="1910" spans="8:16" x14ac:dyDescent="0.25">
      <c r="H1910" s="12"/>
      <c r="I1910" s="12"/>
      <c r="J1910" s="12"/>
      <c r="K1910" s="12"/>
      <c r="L1910" s="12"/>
      <c r="M1910" s="11"/>
      <c r="N1910" s="11"/>
      <c r="O1910" s="11"/>
      <c r="P1910" s="11"/>
    </row>
    <row r="1911" spans="8:16" x14ac:dyDescent="0.25">
      <c r="H1911" s="12"/>
      <c r="I1911" s="12"/>
      <c r="J1911" s="12"/>
      <c r="K1911" s="12"/>
      <c r="L1911" s="12"/>
      <c r="M1911" s="11"/>
      <c r="N1911" s="11"/>
      <c r="O1911" s="11"/>
      <c r="P1911" s="11"/>
    </row>
    <row r="1912" spans="8:16" x14ac:dyDescent="0.25">
      <c r="H1912" s="12"/>
      <c r="I1912" s="12"/>
      <c r="J1912" s="12"/>
      <c r="K1912" s="12"/>
      <c r="L1912" s="12"/>
      <c r="M1912" s="11"/>
      <c r="N1912" s="11"/>
      <c r="O1912" s="11"/>
      <c r="P1912" s="11"/>
    </row>
    <row r="1913" spans="8:16" x14ac:dyDescent="0.25">
      <c r="H1913" s="12"/>
      <c r="I1913" s="12"/>
      <c r="J1913" s="12"/>
      <c r="K1913" s="12"/>
      <c r="L1913" s="12"/>
      <c r="M1913" s="11"/>
      <c r="N1913" s="11"/>
      <c r="O1913" s="11"/>
      <c r="P1913" s="11"/>
    </row>
    <row r="1914" spans="8:16" x14ac:dyDescent="0.25">
      <c r="H1914" s="12"/>
      <c r="I1914" s="12"/>
      <c r="J1914" s="12"/>
      <c r="K1914" s="12"/>
      <c r="L1914" s="12"/>
      <c r="M1914" s="11"/>
      <c r="N1914" s="11"/>
      <c r="O1914" s="11"/>
      <c r="P1914" s="11"/>
    </row>
    <row r="1915" spans="8:16" x14ac:dyDescent="0.25">
      <c r="H1915" s="12"/>
      <c r="I1915" s="12"/>
      <c r="J1915" s="12"/>
      <c r="K1915" s="12"/>
      <c r="L1915" s="12"/>
      <c r="M1915" s="11"/>
      <c r="N1915" s="11"/>
      <c r="O1915" s="11"/>
      <c r="P1915" s="11"/>
    </row>
    <row r="1916" spans="8:16" x14ac:dyDescent="0.25">
      <c r="H1916" s="12"/>
      <c r="I1916" s="12"/>
      <c r="J1916" s="12"/>
      <c r="K1916" s="12"/>
      <c r="L1916" s="12"/>
      <c r="M1916" s="11"/>
      <c r="N1916" s="11"/>
      <c r="O1916" s="11"/>
      <c r="P1916" s="11"/>
    </row>
    <row r="1917" spans="8:16" x14ac:dyDescent="0.25">
      <c r="H1917" s="12"/>
      <c r="I1917" s="12"/>
      <c r="J1917" s="12"/>
      <c r="K1917" s="12"/>
      <c r="L1917" s="12"/>
      <c r="M1917" s="11"/>
      <c r="N1917" s="11"/>
      <c r="O1917" s="11"/>
      <c r="P1917" s="11"/>
    </row>
    <row r="1918" spans="8:16" x14ac:dyDescent="0.25">
      <c r="H1918" s="12"/>
      <c r="I1918" s="12"/>
      <c r="J1918" s="12"/>
      <c r="K1918" s="12"/>
      <c r="L1918" s="12"/>
      <c r="M1918" s="11"/>
      <c r="N1918" s="11"/>
      <c r="O1918" s="11"/>
      <c r="P1918" s="11"/>
    </row>
    <row r="1919" spans="8:16" x14ac:dyDescent="0.25">
      <c r="H1919" s="12"/>
      <c r="I1919" s="12"/>
      <c r="J1919" s="12"/>
      <c r="K1919" s="12"/>
      <c r="L1919" s="12"/>
      <c r="M1919" s="11"/>
      <c r="N1919" s="11"/>
      <c r="O1919" s="11"/>
      <c r="P1919" s="11"/>
    </row>
    <row r="1920" spans="8:16" x14ac:dyDescent="0.25">
      <c r="H1920" s="12"/>
      <c r="I1920" s="12"/>
      <c r="J1920" s="12"/>
      <c r="K1920" s="12"/>
      <c r="L1920" s="12"/>
      <c r="M1920" s="11"/>
      <c r="N1920" s="11"/>
      <c r="O1920" s="11"/>
      <c r="P1920" s="11"/>
    </row>
    <row r="1921" spans="8:16" x14ac:dyDescent="0.25">
      <c r="H1921" s="12"/>
      <c r="I1921" s="12"/>
      <c r="J1921" s="12"/>
      <c r="K1921" s="12"/>
      <c r="L1921" s="12"/>
      <c r="M1921" s="11"/>
      <c r="N1921" s="11"/>
      <c r="O1921" s="11"/>
      <c r="P1921" s="11"/>
    </row>
    <row r="1922" spans="8:16" x14ac:dyDescent="0.25">
      <c r="H1922" s="12"/>
      <c r="I1922" s="12"/>
      <c r="J1922" s="12"/>
      <c r="K1922" s="12"/>
      <c r="L1922" s="12"/>
      <c r="M1922" s="11"/>
      <c r="N1922" s="11"/>
      <c r="O1922" s="11"/>
      <c r="P1922" s="11"/>
    </row>
    <row r="1923" spans="8:16" x14ac:dyDescent="0.25">
      <c r="H1923" s="12"/>
      <c r="I1923" s="12"/>
      <c r="J1923" s="12"/>
      <c r="K1923" s="12"/>
      <c r="L1923" s="12"/>
      <c r="M1923" s="11"/>
      <c r="N1923" s="11"/>
      <c r="O1923" s="11"/>
      <c r="P1923" s="11"/>
    </row>
    <row r="1924" spans="8:16" x14ac:dyDescent="0.25">
      <c r="H1924" s="12"/>
      <c r="I1924" s="12"/>
      <c r="J1924" s="12"/>
      <c r="K1924" s="12"/>
      <c r="L1924" s="12"/>
      <c r="M1924" s="11"/>
      <c r="N1924" s="11"/>
      <c r="O1924" s="11"/>
      <c r="P1924" s="11"/>
    </row>
    <row r="1925" spans="8:16" x14ac:dyDescent="0.25">
      <c r="H1925" s="12"/>
      <c r="I1925" s="12"/>
      <c r="J1925" s="12"/>
      <c r="K1925" s="12"/>
      <c r="L1925" s="12"/>
      <c r="M1925" s="11"/>
      <c r="N1925" s="11"/>
      <c r="O1925" s="11"/>
      <c r="P1925" s="11"/>
    </row>
    <row r="1926" spans="8:16" x14ac:dyDescent="0.25">
      <c r="H1926" s="12"/>
      <c r="I1926" s="12"/>
      <c r="J1926" s="12"/>
      <c r="K1926" s="12"/>
      <c r="L1926" s="12"/>
      <c r="M1926" s="11"/>
      <c r="N1926" s="11"/>
      <c r="O1926" s="11"/>
      <c r="P1926" s="11"/>
    </row>
    <row r="1927" spans="8:16" x14ac:dyDescent="0.25">
      <c r="H1927" s="12"/>
      <c r="I1927" s="12"/>
      <c r="J1927" s="12"/>
      <c r="K1927" s="12"/>
      <c r="L1927" s="12"/>
      <c r="M1927" s="11"/>
      <c r="N1927" s="11"/>
      <c r="O1927" s="11"/>
      <c r="P1927" s="11"/>
    </row>
    <row r="1928" spans="8:16" x14ac:dyDescent="0.25">
      <c r="H1928" s="12"/>
      <c r="I1928" s="12"/>
      <c r="J1928" s="12"/>
      <c r="K1928" s="12"/>
      <c r="L1928" s="12"/>
      <c r="M1928" s="11"/>
      <c r="N1928" s="11"/>
      <c r="O1928" s="11"/>
      <c r="P1928" s="11"/>
    </row>
    <row r="1929" spans="8:16" x14ac:dyDescent="0.25">
      <c r="H1929" s="12"/>
      <c r="I1929" s="12"/>
      <c r="J1929" s="12"/>
      <c r="K1929" s="12"/>
      <c r="L1929" s="12"/>
      <c r="M1929" s="11"/>
      <c r="N1929" s="11"/>
      <c r="O1929" s="11"/>
      <c r="P1929" s="11"/>
    </row>
    <row r="1930" spans="8:16" x14ac:dyDescent="0.25">
      <c r="H1930" s="12"/>
      <c r="I1930" s="12"/>
      <c r="J1930" s="12"/>
      <c r="K1930" s="12"/>
      <c r="L1930" s="12"/>
      <c r="M1930" s="11"/>
      <c r="N1930" s="11"/>
      <c r="O1930" s="11"/>
      <c r="P1930" s="11"/>
    </row>
    <row r="1931" spans="8:16" x14ac:dyDescent="0.25">
      <c r="H1931" s="12"/>
      <c r="I1931" s="12"/>
      <c r="J1931" s="12"/>
      <c r="K1931" s="12"/>
      <c r="L1931" s="12"/>
      <c r="M1931" s="11"/>
      <c r="N1931" s="11"/>
      <c r="O1931" s="11"/>
      <c r="P1931" s="11"/>
    </row>
    <row r="1932" spans="8:16" x14ac:dyDescent="0.25">
      <c r="H1932" s="12"/>
      <c r="I1932" s="12"/>
      <c r="J1932" s="12"/>
      <c r="K1932" s="12"/>
      <c r="L1932" s="12"/>
      <c r="M1932" s="11"/>
      <c r="N1932" s="11"/>
      <c r="O1932" s="11"/>
      <c r="P1932" s="11"/>
    </row>
    <row r="1933" spans="8:16" x14ac:dyDescent="0.25">
      <c r="H1933" s="12"/>
      <c r="I1933" s="12"/>
      <c r="J1933" s="12"/>
      <c r="K1933" s="12"/>
      <c r="L1933" s="12"/>
      <c r="M1933" s="11"/>
      <c r="N1933" s="11"/>
      <c r="O1933" s="11"/>
      <c r="P1933" s="11"/>
    </row>
    <row r="1934" spans="8:16" x14ac:dyDescent="0.25">
      <c r="H1934" s="12"/>
      <c r="I1934" s="12"/>
      <c r="J1934" s="12"/>
      <c r="K1934" s="12"/>
      <c r="L1934" s="12"/>
      <c r="M1934" s="11"/>
      <c r="N1934" s="11"/>
      <c r="O1934" s="11"/>
      <c r="P1934" s="11"/>
    </row>
    <row r="1935" spans="8:16" x14ac:dyDescent="0.25">
      <c r="H1935" s="12"/>
      <c r="I1935" s="12"/>
      <c r="J1935" s="12"/>
      <c r="K1935" s="12"/>
      <c r="L1935" s="12"/>
      <c r="M1935" s="11"/>
      <c r="N1935" s="11"/>
      <c r="O1935" s="11"/>
      <c r="P1935" s="11"/>
    </row>
    <row r="1936" spans="8:16" x14ac:dyDescent="0.25">
      <c r="H1936" s="12"/>
      <c r="I1936" s="12"/>
      <c r="J1936" s="12"/>
      <c r="K1936" s="12"/>
      <c r="L1936" s="12"/>
      <c r="M1936" s="11"/>
      <c r="N1936" s="11"/>
      <c r="O1936" s="11"/>
      <c r="P1936" s="11"/>
    </row>
    <row r="1937" spans="8:16" x14ac:dyDescent="0.25">
      <c r="H1937" s="12"/>
      <c r="I1937" s="12"/>
      <c r="J1937" s="12"/>
      <c r="K1937" s="12"/>
      <c r="L1937" s="12"/>
      <c r="M1937" s="11"/>
      <c r="N1937" s="11"/>
      <c r="O1937" s="11"/>
      <c r="P1937" s="11"/>
    </row>
    <row r="1938" spans="8:16" x14ac:dyDescent="0.25">
      <c r="H1938" s="12"/>
      <c r="I1938" s="12"/>
      <c r="J1938" s="12"/>
      <c r="K1938" s="12"/>
      <c r="L1938" s="12"/>
      <c r="M1938" s="11"/>
      <c r="N1938" s="11"/>
      <c r="O1938" s="11"/>
      <c r="P1938" s="11"/>
    </row>
    <row r="1939" spans="8:16" x14ac:dyDescent="0.25">
      <c r="H1939" s="12"/>
      <c r="I1939" s="12"/>
      <c r="J1939" s="12"/>
      <c r="K1939" s="12"/>
      <c r="L1939" s="12"/>
      <c r="M1939" s="11"/>
      <c r="N1939" s="11"/>
      <c r="O1939" s="11"/>
      <c r="P1939" s="11"/>
    </row>
    <row r="1940" spans="8:16" x14ac:dyDescent="0.25">
      <c r="H1940" s="12"/>
      <c r="I1940" s="12"/>
      <c r="J1940" s="12"/>
      <c r="K1940" s="12"/>
      <c r="L1940" s="12"/>
      <c r="M1940" s="11"/>
      <c r="N1940" s="11"/>
      <c r="O1940" s="11"/>
      <c r="P1940" s="11"/>
    </row>
    <row r="1941" spans="8:16" x14ac:dyDescent="0.25">
      <c r="H1941" s="12"/>
      <c r="I1941" s="12"/>
      <c r="J1941" s="12"/>
      <c r="K1941" s="12"/>
      <c r="L1941" s="12"/>
      <c r="M1941" s="11"/>
      <c r="N1941" s="11"/>
      <c r="O1941" s="11"/>
      <c r="P1941" s="11"/>
    </row>
    <row r="1942" spans="8:16" x14ac:dyDescent="0.25">
      <c r="H1942" s="12"/>
      <c r="I1942" s="12"/>
      <c r="J1942" s="12"/>
      <c r="K1942" s="12"/>
      <c r="L1942" s="12"/>
      <c r="M1942" s="11"/>
      <c r="N1942" s="11"/>
      <c r="O1942" s="11"/>
      <c r="P1942" s="11"/>
    </row>
    <row r="1943" spans="8:16" x14ac:dyDescent="0.25">
      <c r="H1943" s="12"/>
      <c r="I1943" s="12"/>
      <c r="J1943" s="12"/>
      <c r="K1943" s="12"/>
      <c r="L1943" s="12"/>
      <c r="M1943" s="11"/>
      <c r="N1943" s="11"/>
      <c r="O1943" s="11"/>
      <c r="P1943" s="11"/>
    </row>
    <row r="1944" spans="8:16" x14ac:dyDescent="0.25">
      <c r="H1944" s="12"/>
      <c r="I1944" s="12"/>
      <c r="J1944" s="12"/>
      <c r="K1944" s="12"/>
      <c r="L1944" s="12"/>
      <c r="M1944" s="11"/>
      <c r="N1944" s="11"/>
      <c r="O1944" s="11"/>
      <c r="P1944" s="11"/>
    </row>
    <row r="1945" spans="8:16" x14ac:dyDescent="0.25">
      <c r="H1945" s="12"/>
      <c r="I1945" s="12"/>
      <c r="J1945" s="12"/>
      <c r="K1945" s="12"/>
      <c r="L1945" s="12"/>
      <c r="M1945" s="11"/>
      <c r="N1945" s="11"/>
      <c r="O1945" s="11"/>
      <c r="P1945" s="11"/>
    </row>
    <row r="1946" spans="8:16" x14ac:dyDescent="0.25">
      <c r="H1946" s="12"/>
      <c r="I1946" s="12"/>
      <c r="J1946" s="12"/>
      <c r="K1946" s="12"/>
      <c r="L1946" s="12"/>
      <c r="M1946" s="11"/>
      <c r="N1946" s="11"/>
      <c r="O1946" s="11"/>
      <c r="P1946" s="11"/>
    </row>
    <row r="1947" spans="8:16" x14ac:dyDescent="0.25">
      <c r="H1947" s="12"/>
      <c r="I1947" s="12"/>
      <c r="J1947" s="12"/>
      <c r="K1947" s="12"/>
      <c r="L1947" s="12"/>
      <c r="M1947" s="11"/>
      <c r="N1947" s="11"/>
      <c r="O1947" s="11"/>
      <c r="P1947" s="11"/>
    </row>
    <row r="1948" spans="8:16" x14ac:dyDescent="0.25">
      <c r="H1948" s="12"/>
      <c r="I1948" s="12"/>
      <c r="J1948" s="12"/>
      <c r="K1948" s="12"/>
      <c r="L1948" s="12"/>
      <c r="M1948" s="11"/>
      <c r="N1948" s="11"/>
      <c r="O1948" s="11"/>
      <c r="P1948" s="11"/>
    </row>
    <row r="1949" spans="8:16" x14ac:dyDescent="0.25">
      <c r="H1949" s="12"/>
      <c r="I1949" s="12"/>
      <c r="J1949" s="12"/>
      <c r="K1949" s="12"/>
      <c r="L1949" s="12"/>
      <c r="M1949" s="11"/>
      <c r="N1949" s="11"/>
      <c r="O1949" s="11"/>
      <c r="P1949" s="11"/>
    </row>
    <row r="1950" spans="8:16" x14ac:dyDescent="0.25">
      <c r="H1950" s="12"/>
      <c r="I1950" s="12"/>
      <c r="J1950" s="12"/>
      <c r="K1950" s="12"/>
      <c r="L1950" s="12"/>
      <c r="M1950" s="11"/>
      <c r="N1950" s="11"/>
      <c r="O1950" s="11"/>
      <c r="P1950" s="11"/>
    </row>
    <row r="1951" spans="8:16" x14ac:dyDescent="0.25">
      <c r="H1951" s="12"/>
      <c r="I1951" s="12"/>
      <c r="J1951" s="12"/>
      <c r="K1951" s="12"/>
      <c r="L1951" s="12"/>
      <c r="M1951" s="11"/>
      <c r="N1951" s="11"/>
      <c r="O1951" s="11"/>
      <c r="P1951" s="11"/>
    </row>
    <row r="1952" spans="8:16" x14ac:dyDescent="0.25">
      <c r="H1952" s="12"/>
      <c r="I1952" s="12"/>
      <c r="J1952" s="12"/>
      <c r="K1952" s="12"/>
      <c r="L1952" s="12"/>
      <c r="M1952" s="11"/>
      <c r="N1952" s="11"/>
      <c r="O1952" s="11"/>
      <c r="P1952" s="11"/>
    </row>
    <row r="1953" spans="8:16" x14ac:dyDescent="0.25">
      <c r="H1953" s="12"/>
      <c r="I1953" s="12"/>
      <c r="J1953" s="12"/>
      <c r="K1953" s="12"/>
      <c r="L1953" s="12"/>
      <c r="M1953" s="11"/>
      <c r="N1953" s="11"/>
      <c r="O1953" s="11"/>
      <c r="P1953" s="11"/>
    </row>
    <row r="1954" spans="8:16" x14ac:dyDescent="0.25">
      <c r="H1954" s="12"/>
      <c r="I1954" s="12"/>
      <c r="J1954" s="12"/>
      <c r="K1954" s="12"/>
      <c r="L1954" s="12"/>
      <c r="M1954" s="11"/>
      <c r="N1954" s="11"/>
      <c r="O1954" s="11"/>
      <c r="P1954" s="11"/>
    </row>
    <row r="1955" spans="8:16" x14ac:dyDescent="0.25">
      <c r="H1955" s="12"/>
      <c r="I1955" s="12"/>
      <c r="J1955" s="12"/>
      <c r="K1955" s="12"/>
      <c r="L1955" s="12"/>
      <c r="M1955" s="11"/>
      <c r="N1955" s="11"/>
      <c r="O1955" s="11"/>
      <c r="P1955" s="11"/>
    </row>
    <row r="1956" spans="8:16" x14ac:dyDescent="0.25">
      <c r="H1956" s="12"/>
      <c r="I1956" s="12"/>
      <c r="J1956" s="12"/>
      <c r="K1956" s="12"/>
      <c r="L1956" s="12"/>
      <c r="M1956" s="11"/>
      <c r="N1956" s="11"/>
      <c r="O1956" s="11"/>
      <c r="P1956" s="11"/>
    </row>
    <row r="1957" spans="8:16" x14ac:dyDescent="0.25">
      <c r="H1957" s="12"/>
      <c r="I1957" s="12"/>
      <c r="J1957" s="12"/>
      <c r="K1957" s="12"/>
      <c r="L1957" s="12"/>
      <c r="M1957" s="11"/>
      <c r="N1957" s="11"/>
      <c r="O1957" s="11"/>
      <c r="P1957" s="11"/>
    </row>
    <row r="1958" spans="8:16" x14ac:dyDescent="0.25">
      <c r="H1958" s="12"/>
      <c r="I1958" s="12"/>
      <c r="J1958" s="12"/>
      <c r="K1958" s="12"/>
      <c r="L1958" s="12"/>
      <c r="M1958" s="11"/>
      <c r="N1958" s="11"/>
      <c r="O1958" s="11"/>
      <c r="P1958" s="11"/>
    </row>
    <row r="1959" spans="8:16" x14ac:dyDescent="0.25">
      <c r="H1959" s="12"/>
      <c r="I1959" s="12"/>
      <c r="J1959" s="12"/>
      <c r="K1959" s="12"/>
      <c r="L1959" s="12"/>
      <c r="M1959" s="11"/>
      <c r="N1959" s="11"/>
      <c r="O1959" s="11"/>
      <c r="P1959" s="11"/>
    </row>
    <row r="1960" spans="8:16" x14ac:dyDescent="0.25">
      <c r="H1960" s="12"/>
      <c r="I1960" s="12"/>
      <c r="J1960" s="12"/>
      <c r="K1960" s="12"/>
      <c r="L1960" s="12"/>
      <c r="M1960" s="11"/>
      <c r="N1960" s="11"/>
      <c r="O1960" s="11"/>
      <c r="P1960" s="11"/>
    </row>
    <row r="1961" spans="8:16" x14ac:dyDescent="0.25">
      <c r="H1961" s="12"/>
      <c r="I1961" s="12"/>
      <c r="J1961" s="12"/>
      <c r="K1961" s="12"/>
      <c r="L1961" s="12"/>
      <c r="M1961" s="11"/>
      <c r="N1961" s="11"/>
      <c r="O1961" s="11"/>
      <c r="P1961" s="11"/>
    </row>
    <row r="1962" spans="8:16" x14ac:dyDescent="0.25">
      <c r="H1962" s="12"/>
      <c r="I1962" s="12"/>
      <c r="J1962" s="12"/>
      <c r="K1962" s="12"/>
      <c r="L1962" s="12"/>
      <c r="M1962" s="11"/>
      <c r="N1962" s="11"/>
      <c r="O1962" s="11"/>
      <c r="P1962" s="11"/>
    </row>
    <row r="1963" spans="8:16" x14ac:dyDescent="0.25">
      <c r="H1963" s="12"/>
      <c r="I1963" s="12"/>
      <c r="J1963" s="12"/>
      <c r="K1963" s="12"/>
      <c r="L1963" s="12"/>
      <c r="M1963" s="11"/>
      <c r="N1963" s="11"/>
      <c r="O1963" s="11"/>
      <c r="P1963" s="11"/>
    </row>
    <row r="1964" spans="8:16" x14ac:dyDescent="0.25">
      <c r="H1964" s="12"/>
      <c r="I1964" s="12"/>
      <c r="J1964" s="12"/>
      <c r="K1964" s="12"/>
      <c r="L1964" s="12"/>
      <c r="M1964" s="11"/>
      <c r="N1964" s="11"/>
      <c r="O1964" s="11"/>
      <c r="P1964" s="11"/>
    </row>
    <row r="1965" spans="8:16" x14ac:dyDescent="0.25">
      <c r="H1965" s="12"/>
      <c r="I1965" s="12"/>
      <c r="J1965" s="12"/>
      <c r="K1965" s="12"/>
      <c r="L1965" s="12"/>
      <c r="M1965" s="11"/>
      <c r="N1965" s="11"/>
      <c r="O1965" s="11"/>
      <c r="P1965" s="11"/>
    </row>
    <row r="1966" spans="8:16" x14ac:dyDescent="0.25">
      <c r="H1966" s="12"/>
      <c r="I1966" s="12"/>
      <c r="J1966" s="12"/>
      <c r="K1966" s="12"/>
      <c r="L1966" s="12"/>
      <c r="M1966" s="11"/>
      <c r="N1966" s="11"/>
      <c r="O1966" s="11"/>
      <c r="P1966" s="11"/>
    </row>
    <row r="1967" spans="8:16" x14ac:dyDescent="0.25">
      <c r="H1967" s="12"/>
      <c r="I1967" s="12"/>
      <c r="J1967" s="12"/>
      <c r="K1967" s="12"/>
      <c r="L1967" s="12"/>
      <c r="M1967" s="11"/>
      <c r="N1967" s="11"/>
      <c r="O1967" s="11"/>
      <c r="P1967" s="11"/>
    </row>
    <row r="1968" spans="8:16" x14ac:dyDescent="0.25">
      <c r="H1968" s="12"/>
      <c r="I1968" s="12"/>
      <c r="J1968" s="12"/>
      <c r="K1968" s="12"/>
      <c r="L1968" s="12"/>
      <c r="M1968" s="11"/>
      <c r="N1968" s="11"/>
      <c r="O1968" s="11"/>
      <c r="P1968" s="11"/>
    </row>
    <row r="1969" spans="8:16" x14ac:dyDescent="0.25">
      <c r="H1969" s="12"/>
      <c r="I1969" s="12"/>
      <c r="J1969" s="12"/>
      <c r="K1969" s="12"/>
      <c r="L1969" s="12"/>
      <c r="M1969" s="11"/>
      <c r="N1969" s="11"/>
      <c r="O1969" s="11"/>
      <c r="P1969" s="11"/>
    </row>
    <row r="1970" spans="8:16" x14ac:dyDescent="0.25">
      <c r="H1970" s="12"/>
      <c r="I1970" s="12"/>
      <c r="J1970" s="12"/>
      <c r="K1970" s="12"/>
      <c r="L1970" s="12"/>
      <c r="M1970" s="11"/>
      <c r="N1970" s="11"/>
      <c r="O1970" s="11"/>
      <c r="P1970" s="11"/>
    </row>
    <row r="1971" spans="8:16" x14ac:dyDescent="0.25">
      <c r="H1971" s="12"/>
      <c r="I1971" s="12"/>
      <c r="J1971" s="12"/>
      <c r="K1971" s="12"/>
      <c r="L1971" s="12"/>
      <c r="M1971" s="11"/>
      <c r="N1971" s="11"/>
      <c r="O1971" s="11"/>
      <c r="P1971" s="11"/>
    </row>
    <row r="1972" spans="8:16" x14ac:dyDescent="0.25">
      <c r="H1972" s="12"/>
      <c r="I1972" s="12"/>
      <c r="J1972" s="12"/>
      <c r="K1972" s="12"/>
      <c r="L1972" s="12"/>
      <c r="M1972" s="11"/>
      <c r="N1972" s="11"/>
      <c r="O1972" s="11"/>
      <c r="P1972" s="11"/>
    </row>
    <row r="1973" spans="8:16" x14ac:dyDescent="0.25">
      <c r="H1973" s="12"/>
      <c r="I1973" s="12"/>
      <c r="J1973" s="12"/>
      <c r="K1973" s="12"/>
      <c r="L1973" s="12"/>
      <c r="M1973" s="11"/>
      <c r="N1973" s="11"/>
      <c r="O1973" s="11"/>
      <c r="P1973" s="11"/>
    </row>
    <row r="1974" spans="8:16" x14ac:dyDescent="0.25">
      <c r="H1974" s="12"/>
      <c r="I1974" s="12"/>
      <c r="J1974" s="12"/>
      <c r="K1974" s="12"/>
      <c r="L1974" s="12"/>
      <c r="M1974" s="11"/>
      <c r="N1974" s="11"/>
      <c r="O1974" s="11"/>
      <c r="P1974" s="11"/>
    </row>
    <row r="1975" spans="8:16" x14ac:dyDescent="0.25">
      <c r="H1975" s="12"/>
      <c r="I1975" s="12"/>
      <c r="J1975" s="12"/>
      <c r="K1975" s="12"/>
      <c r="L1975" s="12"/>
      <c r="M1975" s="11"/>
      <c r="N1975" s="11"/>
      <c r="O1975" s="11"/>
      <c r="P1975" s="11"/>
    </row>
    <row r="1976" spans="8:16" x14ac:dyDescent="0.25">
      <c r="H1976" s="12"/>
      <c r="I1976" s="12"/>
      <c r="J1976" s="12"/>
      <c r="K1976" s="12"/>
      <c r="L1976" s="12"/>
      <c r="M1976" s="11"/>
      <c r="N1976" s="11"/>
      <c r="O1976" s="11"/>
      <c r="P1976" s="11"/>
    </row>
    <row r="1977" spans="8:16" x14ac:dyDescent="0.25">
      <c r="H1977" s="12"/>
      <c r="I1977" s="12"/>
      <c r="J1977" s="12"/>
      <c r="K1977" s="12"/>
      <c r="L1977" s="12"/>
      <c r="M1977" s="11"/>
      <c r="N1977" s="11"/>
      <c r="O1977" s="11"/>
      <c r="P1977" s="11"/>
    </row>
    <row r="1978" spans="8:16" x14ac:dyDescent="0.25">
      <c r="H1978" s="12"/>
      <c r="I1978" s="12"/>
      <c r="J1978" s="12"/>
      <c r="K1978" s="12"/>
      <c r="L1978" s="12"/>
      <c r="M1978" s="11"/>
      <c r="N1978" s="11"/>
      <c r="O1978" s="11"/>
      <c r="P1978" s="11"/>
    </row>
    <row r="1979" spans="8:16" x14ac:dyDescent="0.25">
      <c r="H1979" s="12"/>
      <c r="I1979" s="12"/>
      <c r="J1979" s="12"/>
      <c r="K1979" s="12"/>
      <c r="L1979" s="12"/>
      <c r="M1979" s="11"/>
      <c r="N1979" s="11"/>
      <c r="O1979" s="11"/>
      <c r="P1979" s="11"/>
    </row>
    <row r="1980" spans="8:16" x14ac:dyDescent="0.25">
      <c r="H1980" s="12"/>
      <c r="I1980" s="12"/>
      <c r="J1980" s="12"/>
      <c r="K1980" s="12"/>
      <c r="L1980" s="12"/>
      <c r="M1980" s="11"/>
      <c r="N1980" s="11"/>
      <c r="O1980" s="11"/>
      <c r="P1980" s="11"/>
    </row>
    <row r="1981" spans="8:16" x14ac:dyDescent="0.25">
      <c r="H1981" s="12"/>
      <c r="I1981" s="12"/>
      <c r="J1981" s="12"/>
      <c r="K1981" s="12"/>
      <c r="L1981" s="12"/>
      <c r="M1981" s="11"/>
      <c r="N1981" s="11"/>
      <c r="O1981" s="11"/>
      <c r="P1981" s="11"/>
    </row>
    <row r="1982" spans="8:16" x14ac:dyDescent="0.25">
      <c r="H1982" s="12"/>
      <c r="I1982" s="12"/>
      <c r="J1982" s="12"/>
      <c r="K1982" s="12"/>
      <c r="L1982" s="12"/>
      <c r="M1982" s="11"/>
      <c r="N1982" s="11"/>
      <c r="O1982" s="11"/>
      <c r="P1982" s="11"/>
    </row>
    <row r="1983" spans="8:16" x14ac:dyDescent="0.25">
      <c r="H1983" s="12"/>
      <c r="I1983" s="12"/>
      <c r="J1983" s="12"/>
      <c r="K1983" s="12"/>
      <c r="L1983" s="12"/>
      <c r="M1983" s="11"/>
      <c r="N1983" s="11"/>
      <c r="O1983" s="11"/>
      <c r="P1983" s="11"/>
    </row>
    <row r="1984" spans="8:16" x14ac:dyDescent="0.25">
      <c r="H1984" s="12"/>
      <c r="I1984" s="12"/>
      <c r="J1984" s="12"/>
      <c r="K1984" s="12"/>
      <c r="L1984" s="12"/>
      <c r="M1984" s="11"/>
      <c r="N1984" s="11"/>
      <c r="O1984" s="11"/>
      <c r="P1984" s="11"/>
    </row>
    <row r="1985" spans="8:16" x14ac:dyDescent="0.25">
      <c r="H1985" s="12"/>
      <c r="I1985" s="12"/>
      <c r="J1985" s="12"/>
      <c r="K1985" s="12"/>
      <c r="L1985" s="12"/>
      <c r="M1985" s="11"/>
      <c r="N1985" s="11"/>
      <c r="O1985" s="11"/>
      <c r="P1985" s="11"/>
    </row>
    <row r="1986" spans="8:16" x14ac:dyDescent="0.25">
      <c r="H1986" s="12"/>
      <c r="I1986" s="12"/>
      <c r="J1986" s="12"/>
      <c r="K1986" s="12"/>
      <c r="L1986" s="12"/>
      <c r="M1986" s="11"/>
      <c r="N1986" s="11"/>
      <c r="O1986" s="11"/>
      <c r="P1986" s="11"/>
    </row>
    <row r="1987" spans="8:16" x14ac:dyDescent="0.25">
      <c r="H1987" s="12"/>
      <c r="I1987" s="12"/>
      <c r="J1987" s="12"/>
      <c r="K1987" s="12"/>
      <c r="L1987" s="12"/>
      <c r="M1987" s="11"/>
      <c r="N1987" s="11"/>
      <c r="O1987" s="11"/>
      <c r="P1987" s="11"/>
    </row>
    <row r="1988" spans="8:16" x14ac:dyDescent="0.25">
      <c r="H1988" s="12"/>
      <c r="I1988" s="12"/>
      <c r="J1988" s="12"/>
      <c r="K1988" s="12"/>
      <c r="L1988" s="12"/>
      <c r="M1988" s="11"/>
      <c r="N1988" s="11"/>
      <c r="O1988" s="11"/>
      <c r="P1988" s="11"/>
    </row>
    <row r="1989" spans="8:16" x14ac:dyDescent="0.25">
      <c r="H1989" s="12"/>
      <c r="I1989" s="12"/>
      <c r="J1989" s="12"/>
      <c r="K1989" s="12"/>
      <c r="L1989" s="12"/>
      <c r="M1989" s="11"/>
      <c r="N1989" s="11"/>
      <c r="O1989" s="11"/>
      <c r="P1989" s="11"/>
    </row>
    <row r="1990" spans="8:16" x14ac:dyDescent="0.25">
      <c r="H1990" s="12"/>
      <c r="I1990" s="12"/>
      <c r="J1990" s="12"/>
      <c r="K1990" s="12"/>
      <c r="L1990" s="12"/>
      <c r="M1990" s="11"/>
      <c r="N1990" s="11"/>
      <c r="O1990" s="11"/>
      <c r="P1990" s="11"/>
    </row>
    <row r="1991" spans="8:16" x14ac:dyDescent="0.25">
      <c r="H1991" s="12"/>
      <c r="I1991" s="12"/>
      <c r="J1991" s="12"/>
      <c r="K1991" s="12"/>
      <c r="L1991" s="12"/>
      <c r="M1991" s="11"/>
      <c r="N1991" s="11"/>
      <c r="O1991" s="11"/>
      <c r="P1991" s="11"/>
    </row>
    <row r="1992" spans="8:16" x14ac:dyDescent="0.25">
      <c r="H1992" s="12"/>
      <c r="I1992" s="12"/>
      <c r="J1992" s="12"/>
      <c r="K1992" s="12"/>
      <c r="L1992" s="12"/>
      <c r="M1992" s="11"/>
      <c r="N1992" s="11"/>
      <c r="O1992" s="11"/>
      <c r="P1992" s="11"/>
    </row>
    <row r="1993" spans="8:16" x14ac:dyDescent="0.25">
      <c r="H1993" s="12"/>
      <c r="I1993" s="12"/>
      <c r="J1993" s="12"/>
      <c r="K1993" s="12"/>
      <c r="L1993" s="12"/>
      <c r="M1993" s="11"/>
      <c r="N1993" s="11"/>
      <c r="O1993" s="11"/>
      <c r="P1993" s="11"/>
    </row>
    <row r="1994" spans="8:16" x14ac:dyDescent="0.25">
      <c r="H1994" s="12"/>
      <c r="I1994" s="12"/>
      <c r="J1994" s="12"/>
      <c r="K1994" s="12"/>
      <c r="L1994" s="12"/>
      <c r="M1994" s="11"/>
      <c r="N1994" s="11"/>
      <c r="O1994" s="11"/>
      <c r="P1994" s="11"/>
    </row>
    <row r="1995" spans="8:16" x14ac:dyDescent="0.25">
      <c r="H1995" s="12"/>
      <c r="I1995" s="12"/>
      <c r="J1995" s="12"/>
      <c r="K1995" s="12"/>
      <c r="L1995" s="12"/>
      <c r="M1995" s="11"/>
      <c r="N1995" s="11"/>
      <c r="O1995" s="11"/>
      <c r="P1995" s="11"/>
    </row>
    <row r="1996" spans="8:16" x14ac:dyDescent="0.25">
      <c r="H1996" s="12"/>
      <c r="I1996" s="12"/>
      <c r="J1996" s="12"/>
      <c r="K1996" s="12"/>
      <c r="L1996" s="12"/>
      <c r="M1996" s="11"/>
      <c r="N1996" s="11"/>
      <c r="O1996" s="11"/>
      <c r="P1996" s="11"/>
    </row>
    <row r="1997" spans="8:16" x14ac:dyDescent="0.25">
      <c r="H1997" s="12"/>
      <c r="I1997" s="12"/>
      <c r="J1997" s="12"/>
      <c r="K1997" s="12"/>
      <c r="L1997" s="12"/>
      <c r="M1997" s="11"/>
      <c r="N1997" s="11"/>
      <c r="O1997" s="11"/>
      <c r="P1997" s="11"/>
    </row>
    <row r="1998" spans="8:16" x14ac:dyDescent="0.25">
      <c r="H1998" s="12"/>
      <c r="I1998" s="12"/>
      <c r="J1998" s="12"/>
      <c r="K1998" s="12"/>
      <c r="L1998" s="12"/>
      <c r="M1998" s="11"/>
      <c r="N1998" s="11"/>
      <c r="O1998" s="11"/>
      <c r="P1998" s="11"/>
    </row>
    <row r="1999" spans="8:16" x14ac:dyDescent="0.25">
      <c r="H1999" s="12"/>
      <c r="I1999" s="12"/>
      <c r="J1999" s="12"/>
      <c r="K1999" s="12"/>
      <c r="L1999" s="12"/>
      <c r="M1999" s="11"/>
      <c r="N1999" s="11"/>
      <c r="O1999" s="11"/>
      <c r="P1999" s="11"/>
    </row>
    <row r="2000" spans="8:16" x14ac:dyDescent="0.25">
      <c r="H2000" s="12"/>
      <c r="I2000" s="12"/>
      <c r="J2000" s="12"/>
      <c r="K2000" s="12"/>
      <c r="L2000" s="12"/>
      <c r="M2000" s="11"/>
      <c r="N2000" s="11"/>
      <c r="O2000" s="11"/>
      <c r="P2000" s="11"/>
    </row>
    <row r="2001" spans="8:16" x14ac:dyDescent="0.25">
      <c r="H2001" s="12"/>
      <c r="I2001" s="12"/>
      <c r="J2001" s="12"/>
      <c r="K2001" s="12"/>
      <c r="L2001" s="12"/>
      <c r="M2001" s="11"/>
      <c r="N2001" s="11"/>
      <c r="O2001" s="11"/>
      <c r="P2001" s="11"/>
    </row>
    <row r="2002" spans="8:16" x14ac:dyDescent="0.25">
      <c r="H2002" s="12"/>
      <c r="I2002" s="12"/>
      <c r="J2002" s="12"/>
      <c r="K2002" s="12"/>
      <c r="L2002" s="12"/>
      <c r="M2002" s="11"/>
      <c r="N2002" s="11"/>
      <c r="O2002" s="11"/>
      <c r="P2002" s="11"/>
    </row>
    <row r="2003" spans="8:16" x14ac:dyDescent="0.25">
      <c r="H2003" s="12"/>
      <c r="I2003" s="12"/>
      <c r="J2003" s="12"/>
      <c r="K2003" s="12"/>
      <c r="L2003" s="12"/>
      <c r="M2003" s="11"/>
      <c r="N2003" s="11"/>
      <c r="O2003" s="11"/>
      <c r="P2003" s="11"/>
    </row>
    <row r="2004" spans="8:16" x14ac:dyDescent="0.25">
      <c r="H2004" s="12"/>
      <c r="I2004" s="12"/>
      <c r="J2004" s="12"/>
      <c r="K2004" s="12"/>
      <c r="L2004" s="12"/>
      <c r="M2004" s="11"/>
      <c r="N2004" s="11"/>
      <c r="O2004" s="11"/>
      <c r="P2004" s="11"/>
    </row>
    <row r="2005" spans="8:16" x14ac:dyDescent="0.25">
      <c r="H2005" s="12"/>
      <c r="I2005" s="12"/>
      <c r="J2005" s="12"/>
      <c r="K2005" s="12"/>
      <c r="L2005" s="12"/>
      <c r="M2005" s="11"/>
      <c r="N2005" s="11"/>
      <c r="O2005" s="11"/>
      <c r="P2005" s="11"/>
    </row>
    <row r="2006" spans="8:16" x14ac:dyDescent="0.25">
      <c r="H2006" s="12"/>
      <c r="I2006" s="12"/>
      <c r="J2006" s="12"/>
      <c r="K2006" s="12"/>
      <c r="L2006" s="12"/>
      <c r="M2006" s="11"/>
      <c r="N2006" s="11"/>
      <c r="O2006" s="11"/>
      <c r="P2006" s="11"/>
    </row>
    <row r="2007" spans="8:16" x14ac:dyDescent="0.25">
      <c r="H2007" s="12"/>
      <c r="I2007" s="12"/>
      <c r="J2007" s="12"/>
      <c r="K2007" s="12"/>
      <c r="L2007" s="12"/>
      <c r="M2007" s="11"/>
      <c r="N2007" s="11"/>
      <c r="O2007" s="11"/>
      <c r="P2007" s="11"/>
    </row>
    <row r="2008" spans="8:16" x14ac:dyDescent="0.25">
      <c r="H2008" s="12"/>
      <c r="I2008" s="12"/>
      <c r="J2008" s="12"/>
      <c r="K2008" s="12"/>
      <c r="L2008" s="12"/>
      <c r="M2008" s="11"/>
      <c r="N2008" s="11"/>
      <c r="O2008" s="11"/>
      <c r="P2008" s="11"/>
    </row>
    <row r="2009" spans="8:16" x14ac:dyDescent="0.25">
      <c r="H2009" s="12"/>
      <c r="I2009" s="12"/>
      <c r="J2009" s="12"/>
      <c r="K2009" s="12"/>
      <c r="L2009" s="12"/>
      <c r="M2009" s="11"/>
      <c r="N2009" s="11"/>
      <c r="O2009" s="11"/>
      <c r="P2009" s="11"/>
    </row>
    <row r="2010" spans="8:16" x14ac:dyDescent="0.25">
      <c r="H2010" s="12"/>
      <c r="I2010" s="12"/>
      <c r="J2010" s="12"/>
      <c r="K2010" s="12"/>
      <c r="L2010" s="12"/>
      <c r="M2010" s="11"/>
      <c r="N2010" s="11"/>
      <c r="O2010" s="11"/>
      <c r="P2010" s="11"/>
    </row>
    <row r="2011" spans="8:16" x14ac:dyDescent="0.25">
      <c r="H2011" s="12"/>
      <c r="I2011" s="12"/>
      <c r="J2011" s="12"/>
      <c r="K2011" s="12"/>
      <c r="L2011" s="12"/>
      <c r="M2011" s="11"/>
      <c r="N2011" s="11"/>
      <c r="O2011" s="11"/>
      <c r="P2011" s="11"/>
    </row>
    <row r="2012" spans="8:16" x14ac:dyDescent="0.25">
      <c r="H2012" s="12"/>
      <c r="I2012" s="12"/>
      <c r="J2012" s="12"/>
      <c r="K2012" s="12"/>
      <c r="L2012" s="12"/>
      <c r="M2012" s="11"/>
      <c r="N2012" s="11"/>
      <c r="O2012" s="11"/>
      <c r="P2012" s="11"/>
    </row>
    <row r="2013" spans="8:16" x14ac:dyDescent="0.25">
      <c r="H2013" s="12"/>
      <c r="I2013" s="12"/>
      <c r="J2013" s="12"/>
      <c r="K2013" s="12"/>
      <c r="L2013" s="12"/>
      <c r="M2013" s="11"/>
      <c r="N2013" s="11"/>
      <c r="O2013" s="11"/>
      <c r="P2013" s="11"/>
    </row>
    <row r="2014" spans="8:16" x14ac:dyDescent="0.25">
      <c r="H2014" s="12"/>
      <c r="I2014" s="12"/>
      <c r="J2014" s="12"/>
      <c r="K2014" s="12"/>
      <c r="L2014" s="12"/>
      <c r="M2014" s="11"/>
      <c r="N2014" s="11"/>
      <c r="O2014" s="11"/>
      <c r="P2014" s="11"/>
    </row>
    <row r="2015" spans="8:16" x14ac:dyDescent="0.25">
      <c r="H2015" s="12"/>
      <c r="I2015" s="12"/>
      <c r="J2015" s="12"/>
      <c r="K2015" s="12"/>
      <c r="L2015" s="12"/>
      <c r="M2015" s="11"/>
      <c r="N2015" s="11"/>
      <c r="O2015" s="11"/>
      <c r="P2015" s="11"/>
    </row>
    <row r="2016" spans="8:16" x14ac:dyDescent="0.25">
      <c r="H2016" s="12"/>
      <c r="I2016" s="12"/>
      <c r="J2016" s="12"/>
      <c r="K2016" s="12"/>
      <c r="L2016" s="12"/>
      <c r="M2016" s="11"/>
      <c r="N2016" s="11"/>
      <c r="O2016" s="11"/>
      <c r="P2016" s="11"/>
    </row>
    <row r="2017" spans="8:16" x14ac:dyDescent="0.25">
      <c r="H2017" s="12"/>
      <c r="I2017" s="12"/>
      <c r="J2017" s="12"/>
      <c r="K2017" s="12"/>
      <c r="L2017" s="12"/>
      <c r="M2017" s="11"/>
      <c r="N2017" s="11"/>
      <c r="O2017" s="11"/>
      <c r="P2017" s="11"/>
    </row>
    <row r="2018" spans="8:16" x14ac:dyDescent="0.25">
      <c r="H2018" s="12"/>
      <c r="I2018" s="12"/>
      <c r="J2018" s="12"/>
      <c r="K2018" s="12"/>
      <c r="L2018" s="12"/>
      <c r="M2018" s="11"/>
      <c r="N2018" s="11"/>
      <c r="O2018" s="11"/>
      <c r="P2018" s="11"/>
    </row>
    <row r="2019" spans="8:16" x14ac:dyDescent="0.25">
      <c r="H2019" s="12"/>
      <c r="I2019" s="12"/>
      <c r="J2019" s="12"/>
      <c r="K2019" s="12"/>
      <c r="L2019" s="12"/>
      <c r="M2019" s="11"/>
      <c r="N2019" s="11"/>
      <c r="O2019" s="11"/>
      <c r="P2019" s="11"/>
    </row>
    <row r="2020" spans="8:16" x14ac:dyDescent="0.25">
      <c r="H2020" s="12"/>
      <c r="I2020" s="12"/>
      <c r="J2020" s="12"/>
      <c r="K2020" s="12"/>
      <c r="L2020" s="12"/>
      <c r="M2020" s="11"/>
      <c r="N2020" s="11"/>
      <c r="O2020" s="11"/>
      <c r="P2020" s="11"/>
    </row>
    <row r="2021" spans="8:16" x14ac:dyDescent="0.25">
      <c r="H2021" s="12"/>
      <c r="I2021" s="12"/>
      <c r="J2021" s="12"/>
      <c r="K2021" s="12"/>
      <c r="L2021" s="12"/>
      <c r="M2021" s="11"/>
      <c r="N2021" s="11"/>
      <c r="O2021" s="11"/>
      <c r="P2021" s="11"/>
    </row>
    <row r="2022" spans="8:16" x14ac:dyDescent="0.25">
      <c r="H2022" s="12"/>
      <c r="I2022" s="12"/>
      <c r="J2022" s="12"/>
      <c r="K2022" s="12"/>
      <c r="L2022" s="12"/>
      <c r="M2022" s="11"/>
      <c r="N2022" s="11"/>
      <c r="O2022" s="11"/>
      <c r="P2022" s="11"/>
    </row>
    <row r="2023" spans="8:16" x14ac:dyDescent="0.25">
      <c r="H2023" s="12"/>
      <c r="I2023" s="12"/>
      <c r="J2023" s="12"/>
      <c r="K2023" s="12"/>
      <c r="L2023" s="12"/>
      <c r="M2023" s="11"/>
      <c r="N2023" s="11"/>
      <c r="O2023" s="11"/>
      <c r="P2023" s="11"/>
    </row>
    <row r="2024" spans="8:16" x14ac:dyDescent="0.25">
      <c r="H2024" s="12"/>
      <c r="I2024" s="12"/>
      <c r="J2024" s="12"/>
      <c r="K2024" s="12"/>
      <c r="L2024" s="12"/>
      <c r="M2024" s="11"/>
      <c r="N2024" s="11"/>
      <c r="O2024" s="11"/>
      <c r="P2024" s="11"/>
    </row>
    <row r="2025" spans="8:16" x14ac:dyDescent="0.25">
      <c r="H2025" s="12"/>
      <c r="I2025" s="12"/>
      <c r="J2025" s="12"/>
      <c r="K2025" s="12"/>
      <c r="L2025" s="12"/>
      <c r="M2025" s="11"/>
      <c r="N2025" s="11"/>
      <c r="O2025" s="11"/>
      <c r="P2025" s="11"/>
    </row>
    <row r="2026" spans="8:16" x14ac:dyDescent="0.25">
      <c r="H2026" s="12"/>
      <c r="I2026" s="12"/>
      <c r="J2026" s="12"/>
      <c r="K2026" s="12"/>
      <c r="L2026" s="12"/>
      <c r="M2026" s="11"/>
      <c r="N2026" s="11"/>
      <c r="O2026" s="11"/>
      <c r="P2026" s="11"/>
    </row>
    <row r="2027" spans="8:16" x14ac:dyDescent="0.25">
      <c r="H2027" s="12"/>
      <c r="I2027" s="12"/>
      <c r="J2027" s="12"/>
      <c r="K2027" s="12"/>
      <c r="L2027" s="12"/>
      <c r="M2027" s="11"/>
      <c r="N2027" s="11"/>
      <c r="O2027" s="11"/>
      <c r="P2027" s="11"/>
    </row>
    <row r="2028" spans="8:16" x14ac:dyDescent="0.25">
      <c r="H2028" s="12"/>
      <c r="I2028" s="12"/>
      <c r="J2028" s="12"/>
      <c r="K2028" s="12"/>
      <c r="L2028" s="12"/>
      <c r="M2028" s="11"/>
      <c r="N2028" s="11"/>
      <c r="O2028" s="11"/>
      <c r="P2028" s="11"/>
    </row>
    <row r="2029" spans="8:16" x14ac:dyDescent="0.25">
      <c r="H2029" s="12"/>
      <c r="I2029" s="12"/>
      <c r="J2029" s="12"/>
      <c r="K2029" s="12"/>
      <c r="L2029" s="12"/>
      <c r="M2029" s="11"/>
      <c r="N2029" s="11"/>
      <c r="O2029" s="11"/>
      <c r="P2029" s="11"/>
    </row>
    <row r="2030" spans="8:16" x14ac:dyDescent="0.25">
      <c r="H2030" s="12"/>
      <c r="I2030" s="12"/>
      <c r="J2030" s="12"/>
      <c r="K2030" s="12"/>
      <c r="L2030" s="12"/>
      <c r="M2030" s="11"/>
      <c r="N2030" s="11"/>
      <c r="O2030" s="11"/>
      <c r="P2030" s="11"/>
    </row>
    <row r="2031" spans="8:16" x14ac:dyDescent="0.25">
      <c r="H2031" s="12"/>
      <c r="I2031" s="12"/>
      <c r="J2031" s="12"/>
      <c r="K2031" s="12"/>
      <c r="L2031" s="12"/>
      <c r="M2031" s="11"/>
      <c r="N2031" s="11"/>
      <c r="O2031" s="11"/>
      <c r="P2031" s="11"/>
    </row>
    <row r="2032" spans="8:16" x14ac:dyDescent="0.25">
      <c r="H2032" s="12"/>
      <c r="I2032" s="12"/>
      <c r="J2032" s="12"/>
      <c r="K2032" s="12"/>
      <c r="L2032" s="12"/>
      <c r="M2032" s="11"/>
      <c r="N2032" s="11"/>
      <c r="O2032" s="11"/>
      <c r="P2032" s="11"/>
    </row>
    <row r="2033" spans="8:16" x14ac:dyDescent="0.25">
      <c r="H2033" s="12"/>
      <c r="I2033" s="12"/>
      <c r="J2033" s="12"/>
      <c r="K2033" s="12"/>
      <c r="L2033" s="12"/>
      <c r="M2033" s="11"/>
      <c r="N2033" s="11"/>
      <c r="O2033" s="11"/>
      <c r="P2033" s="11"/>
    </row>
    <row r="2034" spans="8:16" x14ac:dyDescent="0.25">
      <c r="H2034" s="12"/>
      <c r="I2034" s="12"/>
      <c r="J2034" s="12"/>
      <c r="K2034" s="12"/>
      <c r="L2034" s="12"/>
      <c r="M2034" s="11"/>
      <c r="N2034" s="11"/>
      <c r="O2034" s="11"/>
      <c r="P2034" s="11"/>
    </row>
    <row r="2035" spans="8:16" x14ac:dyDescent="0.25">
      <c r="H2035" s="12"/>
      <c r="I2035" s="12"/>
      <c r="J2035" s="12"/>
      <c r="K2035" s="12"/>
      <c r="L2035" s="12"/>
      <c r="M2035" s="11"/>
      <c r="N2035" s="11"/>
      <c r="O2035" s="11"/>
      <c r="P2035" s="11"/>
    </row>
    <row r="2036" spans="8:16" x14ac:dyDescent="0.25">
      <c r="H2036" s="12"/>
      <c r="I2036" s="12"/>
      <c r="J2036" s="12"/>
      <c r="K2036" s="12"/>
      <c r="L2036" s="12"/>
      <c r="M2036" s="11"/>
      <c r="N2036" s="11"/>
      <c r="O2036" s="11"/>
      <c r="P2036" s="11"/>
    </row>
    <row r="2037" spans="8:16" x14ac:dyDescent="0.25">
      <c r="H2037" s="12"/>
      <c r="I2037" s="12"/>
      <c r="J2037" s="12"/>
      <c r="K2037" s="12"/>
      <c r="L2037" s="12"/>
      <c r="M2037" s="11"/>
      <c r="N2037" s="11"/>
      <c r="O2037" s="11"/>
      <c r="P2037" s="11"/>
    </row>
    <row r="2038" spans="8:16" x14ac:dyDescent="0.25">
      <c r="H2038" s="12"/>
      <c r="I2038" s="12"/>
      <c r="J2038" s="12"/>
      <c r="K2038" s="12"/>
      <c r="L2038" s="12"/>
      <c r="M2038" s="11"/>
      <c r="N2038" s="11"/>
      <c r="O2038" s="11"/>
      <c r="P2038" s="11"/>
    </row>
    <row r="2039" spans="8:16" x14ac:dyDescent="0.25">
      <c r="H2039" s="12"/>
      <c r="I2039" s="12"/>
      <c r="J2039" s="12"/>
      <c r="K2039" s="12"/>
      <c r="L2039" s="12"/>
      <c r="M2039" s="11"/>
      <c r="N2039" s="11"/>
      <c r="O2039" s="11"/>
      <c r="P2039" s="11"/>
    </row>
    <row r="2040" spans="8:16" x14ac:dyDescent="0.25">
      <c r="H2040" s="12"/>
      <c r="I2040" s="12"/>
      <c r="J2040" s="12"/>
      <c r="K2040" s="12"/>
      <c r="L2040" s="12"/>
      <c r="M2040" s="11"/>
      <c r="N2040" s="11"/>
      <c r="O2040" s="11"/>
      <c r="P2040" s="11"/>
    </row>
    <row r="2041" spans="8:16" x14ac:dyDescent="0.25">
      <c r="H2041" s="12"/>
      <c r="I2041" s="12"/>
      <c r="J2041" s="12"/>
      <c r="K2041" s="12"/>
      <c r="L2041" s="12"/>
      <c r="M2041" s="11"/>
      <c r="N2041" s="11"/>
      <c r="O2041" s="11"/>
      <c r="P2041" s="11"/>
    </row>
    <row r="2042" spans="8:16" x14ac:dyDescent="0.25">
      <c r="H2042" s="12"/>
      <c r="I2042" s="12"/>
      <c r="J2042" s="12"/>
      <c r="K2042" s="12"/>
      <c r="L2042" s="12"/>
      <c r="M2042" s="11"/>
      <c r="N2042" s="11"/>
      <c r="O2042" s="11"/>
      <c r="P2042" s="11"/>
    </row>
    <row r="2043" spans="8:16" x14ac:dyDescent="0.25">
      <c r="H2043" s="12"/>
      <c r="I2043" s="12"/>
      <c r="J2043" s="12"/>
      <c r="K2043" s="12"/>
      <c r="L2043" s="12"/>
      <c r="M2043" s="11"/>
      <c r="N2043" s="11"/>
      <c r="O2043" s="11"/>
      <c r="P2043" s="11"/>
    </row>
    <row r="2044" spans="8:16" x14ac:dyDescent="0.25">
      <c r="H2044" s="12"/>
      <c r="I2044" s="12"/>
      <c r="J2044" s="12"/>
      <c r="K2044" s="12"/>
      <c r="L2044" s="12"/>
      <c r="M2044" s="11"/>
      <c r="N2044" s="11"/>
      <c r="O2044" s="11"/>
      <c r="P2044" s="11"/>
    </row>
    <row r="2045" spans="8:16" x14ac:dyDescent="0.25">
      <c r="H2045" s="12"/>
      <c r="I2045" s="12"/>
      <c r="J2045" s="12"/>
      <c r="K2045" s="12"/>
      <c r="L2045" s="12"/>
      <c r="M2045" s="11"/>
      <c r="N2045" s="11"/>
      <c r="O2045" s="11"/>
      <c r="P2045" s="11"/>
    </row>
    <row r="2046" spans="8:16" x14ac:dyDescent="0.25">
      <c r="H2046" s="12"/>
      <c r="I2046" s="12"/>
      <c r="J2046" s="12"/>
      <c r="K2046" s="12"/>
      <c r="L2046" s="12"/>
      <c r="M2046" s="11"/>
      <c r="N2046" s="11"/>
      <c r="O2046" s="11"/>
      <c r="P2046" s="11"/>
    </row>
    <row r="2047" spans="8:16" x14ac:dyDescent="0.25">
      <c r="H2047" s="12"/>
      <c r="I2047" s="12"/>
      <c r="J2047" s="12"/>
      <c r="K2047" s="12"/>
      <c r="L2047" s="12"/>
      <c r="M2047" s="11"/>
      <c r="N2047" s="11"/>
      <c r="O2047" s="11"/>
      <c r="P2047" s="11"/>
    </row>
    <row r="2048" spans="8:16" x14ac:dyDescent="0.25">
      <c r="H2048" s="12"/>
      <c r="I2048" s="12"/>
      <c r="J2048" s="12"/>
      <c r="K2048" s="12"/>
      <c r="L2048" s="12"/>
      <c r="M2048" s="11"/>
      <c r="N2048" s="11"/>
      <c r="O2048" s="11"/>
      <c r="P2048" s="11"/>
    </row>
    <row r="2049" spans="8:16" x14ac:dyDescent="0.25">
      <c r="H2049" s="12"/>
      <c r="I2049" s="12"/>
      <c r="J2049" s="12"/>
      <c r="K2049" s="12"/>
      <c r="L2049" s="12"/>
      <c r="M2049" s="11"/>
      <c r="N2049" s="11"/>
      <c r="O2049" s="11"/>
      <c r="P2049" s="11"/>
    </row>
    <row r="2050" spans="8:16" x14ac:dyDescent="0.25">
      <c r="H2050" s="12"/>
      <c r="I2050" s="12"/>
      <c r="J2050" s="12"/>
      <c r="K2050" s="12"/>
      <c r="L2050" s="12"/>
      <c r="M2050" s="11"/>
      <c r="N2050" s="11"/>
      <c r="O2050" s="11"/>
      <c r="P2050" s="11"/>
    </row>
    <row r="2051" spans="8:16" x14ac:dyDescent="0.25">
      <c r="H2051" s="12"/>
      <c r="I2051" s="12"/>
      <c r="J2051" s="12"/>
      <c r="K2051" s="12"/>
      <c r="L2051" s="12"/>
      <c r="M2051" s="11"/>
      <c r="N2051" s="11"/>
      <c r="O2051" s="11"/>
      <c r="P2051" s="11"/>
    </row>
    <row r="2052" spans="8:16" x14ac:dyDescent="0.25">
      <c r="H2052" s="12"/>
      <c r="I2052" s="12"/>
      <c r="J2052" s="12"/>
      <c r="K2052" s="12"/>
      <c r="L2052" s="12"/>
      <c r="M2052" s="11"/>
      <c r="N2052" s="11"/>
      <c r="O2052" s="11"/>
      <c r="P2052" s="11"/>
    </row>
    <row r="2053" spans="8:16" x14ac:dyDescent="0.25">
      <c r="H2053" s="12"/>
      <c r="I2053" s="12"/>
      <c r="J2053" s="12"/>
      <c r="K2053" s="12"/>
      <c r="L2053" s="12"/>
      <c r="M2053" s="11"/>
      <c r="N2053" s="11"/>
      <c r="O2053" s="11"/>
      <c r="P2053" s="11"/>
    </row>
    <row r="2054" spans="8:16" x14ac:dyDescent="0.25">
      <c r="H2054" s="12"/>
      <c r="I2054" s="12"/>
      <c r="J2054" s="12"/>
      <c r="K2054" s="12"/>
      <c r="L2054" s="12"/>
      <c r="M2054" s="11"/>
      <c r="N2054" s="11"/>
      <c r="O2054" s="11"/>
      <c r="P2054" s="11"/>
    </row>
    <row r="2055" spans="8:16" x14ac:dyDescent="0.25">
      <c r="H2055" s="12"/>
      <c r="I2055" s="12"/>
      <c r="J2055" s="12"/>
      <c r="K2055" s="12"/>
      <c r="L2055" s="12"/>
      <c r="M2055" s="11"/>
      <c r="N2055" s="11"/>
      <c r="O2055" s="11"/>
      <c r="P2055" s="11"/>
    </row>
    <row r="2056" spans="8:16" x14ac:dyDescent="0.25">
      <c r="H2056" s="12"/>
      <c r="I2056" s="12"/>
      <c r="J2056" s="12"/>
      <c r="K2056" s="12"/>
      <c r="L2056" s="12"/>
      <c r="M2056" s="11"/>
      <c r="N2056" s="11"/>
      <c r="O2056" s="11"/>
      <c r="P2056" s="11"/>
    </row>
    <row r="2057" spans="8:16" x14ac:dyDescent="0.25">
      <c r="H2057" s="12"/>
      <c r="I2057" s="12"/>
      <c r="J2057" s="12"/>
      <c r="K2057" s="12"/>
      <c r="L2057" s="12"/>
      <c r="M2057" s="11"/>
      <c r="N2057" s="11"/>
      <c r="O2057" s="11"/>
      <c r="P2057" s="11"/>
    </row>
    <row r="2058" spans="8:16" x14ac:dyDescent="0.25">
      <c r="H2058" s="12"/>
      <c r="I2058" s="12"/>
      <c r="J2058" s="12"/>
      <c r="K2058" s="12"/>
      <c r="L2058" s="12"/>
      <c r="M2058" s="11"/>
      <c r="N2058" s="11"/>
      <c r="O2058" s="11"/>
      <c r="P2058" s="11"/>
    </row>
    <row r="2059" spans="8:16" x14ac:dyDescent="0.25">
      <c r="H2059" s="12"/>
      <c r="I2059" s="12"/>
      <c r="J2059" s="12"/>
      <c r="K2059" s="12"/>
      <c r="L2059" s="12"/>
      <c r="M2059" s="11"/>
      <c r="N2059" s="11"/>
      <c r="O2059" s="11"/>
      <c r="P2059" s="11"/>
    </row>
    <row r="2060" spans="8:16" x14ac:dyDescent="0.25">
      <c r="H2060" s="12"/>
      <c r="I2060" s="12"/>
      <c r="J2060" s="12"/>
      <c r="K2060" s="12"/>
      <c r="L2060" s="12"/>
      <c r="M2060" s="11"/>
      <c r="N2060" s="11"/>
      <c r="O2060" s="11"/>
      <c r="P2060" s="11"/>
    </row>
    <row r="2061" spans="8:16" x14ac:dyDescent="0.25">
      <c r="H2061" s="12"/>
      <c r="I2061" s="12"/>
      <c r="J2061" s="12"/>
      <c r="K2061" s="12"/>
      <c r="L2061" s="12"/>
      <c r="M2061" s="11"/>
      <c r="N2061" s="11"/>
      <c r="O2061" s="11"/>
      <c r="P2061" s="11"/>
    </row>
    <row r="2062" spans="8:16" x14ac:dyDescent="0.25">
      <c r="H2062" s="12"/>
      <c r="I2062" s="12"/>
      <c r="J2062" s="12"/>
      <c r="K2062" s="12"/>
      <c r="L2062" s="12"/>
      <c r="M2062" s="11"/>
      <c r="N2062" s="11"/>
      <c r="O2062" s="11"/>
      <c r="P2062" s="11"/>
    </row>
    <row r="2063" spans="8:16" x14ac:dyDescent="0.25">
      <c r="H2063" s="12"/>
      <c r="I2063" s="12"/>
      <c r="J2063" s="12"/>
      <c r="K2063" s="12"/>
      <c r="L2063" s="12"/>
      <c r="M2063" s="11"/>
      <c r="N2063" s="11"/>
      <c r="O2063" s="11"/>
      <c r="P2063" s="11"/>
    </row>
    <row r="2064" spans="8:16" x14ac:dyDescent="0.25">
      <c r="H2064" s="12"/>
      <c r="I2064" s="12"/>
      <c r="J2064" s="12"/>
      <c r="K2064" s="12"/>
      <c r="L2064" s="12"/>
      <c r="M2064" s="11"/>
      <c r="N2064" s="11"/>
      <c r="O2064" s="11"/>
      <c r="P2064" s="11"/>
    </row>
    <row r="2065" spans="8:16" x14ac:dyDescent="0.25">
      <c r="H2065" s="12"/>
      <c r="I2065" s="12"/>
      <c r="J2065" s="12"/>
      <c r="K2065" s="12"/>
      <c r="L2065" s="12"/>
      <c r="M2065" s="11"/>
      <c r="N2065" s="11"/>
      <c r="O2065" s="11"/>
      <c r="P2065" s="11"/>
    </row>
    <row r="2066" spans="8:16" x14ac:dyDescent="0.25">
      <c r="H2066" s="12"/>
      <c r="I2066" s="12"/>
      <c r="J2066" s="12"/>
      <c r="K2066" s="12"/>
      <c r="L2066" s="12"/>
      <c r="M2066" s="11"/>
      <c r="N2066" s="11"/>
      <c r="O2066" s="11"/>
      <c r="P2066" s="11"/>
    </row>
    <row r="2067" spans="8:16" x14ac:dyDescent="0.25">
      <c r="H2067" s="12"/>
      <c r="I2067" s="12"/>
      <c r="J2067" s="12"/>
      <c r="K2067" s="12"/>
      <c r="L2067" s="12"/>
      <c r="M2067" s="11"/>
      <c r="N2067" s="11"/>
      <c r="O2067" s="11"/>
      <c r="P2067" s="11"/>
    </row>
    <row r="2068" spans="8:16" x14ac:dyDescent="0.25">
      <c r="H2068" s="12"/>
      <c r="I2068" s="12"/>
      <c r="J2068" s="12"/>
      <c r="K2068" s="12"/>
      <c r="L2068" s="12"/>
      <c r="M2068" s="11"/>
      <c r="N2068" s="11"/>
      <c r="O2068" s="11"/>
      <c r="P2068" s="11"/>
    </row>
    <row r="2069" spans="8:16" x14ac:dyDescent="0.25">
      <c r="H2069" s="12"/>
      <c r="I2069" s="12"/>
      <c r="J2069" s="12"/>
      <c r="K2069" s="12"/>
      <c r="L2069" s="12"/>
      <c r="M2069" s="11"/>
      <c r="N2069" s="11"/>
      <c r="O2069" s="11"/>
      <c r="P2069" s="11"/>
    </row>
    <row r="2070" spans="8:16" x14ac:dyDescent="0.25">
      <c r="H2070" s="12"/>
      <c r="I2070" s="12"/>
      <c r="J2070" s="12"/>
      <c r="K2070" s="12"/>
      <c r="L2070" s="12"/>
      <c r="M2070" s="11"/>
      <c r="N2070" s="11"/>
      <c r="O2070" s="11"/>
      <c r="P2070" s="11"/>
    </row>
    <row r="2071" spans="8:16" x14ac:dyDescent="0.25">
      <c r="H2071" s="12"/>
      <c r="I2071" s="12"/>
      <c r="J2071" s="12"/>
      <c r="K2071" s="12"/>
      <c r="L2071" s="12"/>
      <c r="M2071" s="11"/>
      <c r="N2071" s="11"/>
      <c r="O2071" s="11"/>
      <c r="P2071" s="11"/>
    </row>
    <row r="2072" spans="8:16" x14ac:dyDescent="0.25">
      <c r="H2072" s="12"/>
      <c r="I2072" s="12"/>
      <c r="J2072" s="12"/>
      <c r="K2072" s="12"/>
      <c r="L2072" s="12"/>
      <c r="M2072" s="11"/>
      <c r="N2072" s="11"/>
      <c r="O2072" s="11"/>
      <c r="P2072" s="11"/>
    </row>
    <row r="2073" spans="8:16" x14ac:dyDescent="0.25">
      <c r="H2073" s="12"/>
      <c r="I2073" s="12"/>
      <c r="J2073" s="12"/>
      <c r="K2073" s="12"/>
      <c r="L2073" s="12"/>
      <c r="M2073" s="11"/>
      <c r="N2073" s="11"/>
      <c r="O2073" s="11"/>
      <c r="P2073" s="11"/>
    </row>
    <row r="2074" spans="8:16" x14ac:dyDescent="0.25">
      <c r="H2074" s="12"/>
      <c r="I2074" s="12"/>
      <c r="J2074" s="12"/>
      <c r="K2074" s="12"/>
      <c r="L2074" s="12"/>
      <c r="M2074" s="11"/>
      <c r="N2074" s="11"/>
      <c r="O2074" s="11"/>
      <c r="P2074" s="11"/>
    </row>
    <row r="2075" spans="8:16" x14ac:dyDescent="0.25">
      <c r="H2075" s="12"/>
      <c r="I2075" s="12"/>
      <c r="J2075" s="12"/>
      <c r="K2075" s="12"/>
      <c r="L2075" s="12"/>
      <c r="M2075" s="11"/>
      <c r="N2075" s="11"/>
      <c r="O2075" s="11"/>
      <c r="P2075" s="11"/>
    </row>
    <row r="2076" spans="8:16" x14ac:dyDescent="0.25">
      <c r="H2076" s="12"/>
      <c r="I2076" s="12"/>
      <c r="J2076" s="12"/>
      <c r="K2076" s="12"/>
      <c r="L2076" s="12"/>
      <c r="M2076" s="11"/>
      <c r="N2076" s="11"/>
      <c r="O2076" s="11"/>
      <c r="P2076" s="11"/>
    </row>
    <row r="2077" spans="8:16" x14ac:dyDescent="0.25">
      <c r="H2077" s="12"/>
      <c r="I2077" s="12"/>
      <c r="J2077" s="12"/>
      <c r="K2077" s="12"/>
      <c r="L2077" s="12"/>
      <c r="M2077" s="11"/>
      <c r="N2077" s="11"/>
      <c r="O2077" s="11"/>
      <c r="P2077" s="11"/>
    </row>
    <row r="2078" spans="8:16" x14ac:dyDescent="0.25">
      <c r="H2078" s="12"/>
      <c r="I2078" s="12"/>
      <c r="J2078" s="12"/>
      <c r="K2078" s="12"/>
      <c r="L2078" s="12"/>
      <c r="M2078" s="11"/>
      <c r="N2078" s="11"/>
      <c r="O2078" s="11"/>
      <c r="P2078" s="11"/>
    </row>
    <row r="2079" spans="8:16" x14ac:dyDescent="0.25">
      <c r="H2079" s="12"/>
      <c r="I2079" s="12"/>
      <c r="J2079" s="12"/>
      <c r="K2079" s="12"/>
      <c r="L2079" s="12"/>
      <c r="M2079" s="11"/>
      <c r="N2079" s="11"/>
      <c r="O2079" s="11"/>
      <c r="P2079" s="11"/>
    </row>
    <row r="2080" spans="8:16" x14ac:dyDescent="0.25">
      <c r="H2080" s="12"/>
      <c r="I2080" s="12"/>
      <c r="J2080" s="12"/>
      <c r="K2080" s="12"/>
      <c r="L2080" s="12"/>
      <c r="M2080" s="11"/>
      <c r="N2080" s="11"/>
      <c r="O2080" s="11"/>
      <c r="P2080" s="11"/>
    </row>
    <row r="2081" spans="8:16" x14ac:dyDescent="0.25">
      <c r="H2081" s="12"/>
      <c r="I2081" s="12"/>
      <c r="J2081" s="12"/>
      <c r="K2081" s="12"/>
      <c r="L2081" s="12"/>
      <c r="M2081" s="11"/>
      <c r="N2081" s="11"/>
      <c r="O2081" s="11"/>
      <c r="P2081" s="11"/>
    </row>
    <row r="2082" spans="8:16" x14ac:dyDescent="0.25">
      <c r="H2082" s="12"/>
      <c r="I2082" s="12"/>
      <c r="J2082" s="12"/>
      <c r="K2082" s="12"/>
      <c r="L2082" s="12"/>
      <c r="M2082" s="11"/>
      <c r="N2082" s="11"/>
      <c r="O2082" s="11"/>
      <c r="P2082" s="11"/>
    </row>
    <row r="2083" spans="8:16" x14ac:dyDescent="0.25">
      <c r="H2083" s="12"/>
      <c r="I2083" s="12"/>
      <c r="J2083" s="12"/>
      <c r="K2083" s="12"/>
      <c r="L2083" s="12"/>
      <c r="M2083" s="11"/>
      <c r="N2083" s="11"/>
      <c r="O2083" s="11"/>
      <c r="P2083" s="11"/>
    </row>
    <row r="2084" spans="8:16" x14ac:dyDescent="0.25">
      <c r="H2084" s="12"/>
      <c r="I2084" s="12"/>
      <c r="J2084" s="12"/>
      <c r="K2084" s="12"/>
      <c r="L2084" s="12"/>
      <c r="M2084" s="11"/>
      <c r="N2084" s="11"/>
      <c r="O2084" s="11"/>
      <c r="P2084" s="11"/>
    </row>
    <row r="2085" spans="8:16" x14ac:dyDescent="0.25">
      <c r="H2085" s="12"/>
      <c r="I2085" s="12"/>
      <c r="J2085" s="12"/>
      <c r="K2085" s="12"/>
      <c r="L2085" s="12"/>
      <c r="M2085" s="11"/>
      <c r="N2085" s="11"/>
      <c r="O2085" s="11"/>
      <c r="P2085" s="11"/>
    </row>
    <row r="2086" spans="8:16" x14ac:dyDescent="0.25">
      <c r="H2086" s="12"/>
      <c r="I2086" s="12"/>
      <c r="J2086" s="12"/>
      <c r="K2086" s="12"/>
      <c r="L2086" s="12"/>
      <c r="M2086" s="11"/>
      <c r="N2086" s="11"/>
      <c r="O2086" s="11"/>
      <c r="P2086" s="11"/>
    </row>
    <row r="2087" spans="8:16" x14ac:dyDescent="0.25">
      <c r="H2087" s="12"/>
      <c r="I2087" s="12"/>
      <c r="J2087" s="12"/>
      <c r="K2087" s="12"/>
      <c r="L2087" s="12"/>
      <c r="M2087" s="11"/>
      <c r="N2087" s="11"/>
      <c r="O2087" s="11"/>
      <c r="P2087" s="11"/>
    </row>
    <row r="2088" spans="8:16" x14ac:dyDescent="0.25">
      <c r="H2088" s="12"/>
      <c r="I2088" s="12"/>
      <c r="J2088" s="12"/>
      <c r="K2088" s="12"/>
      <c r="L2088" s="12"/>
      <c r="M2088" s="11"/>
      <c r="N2088" s="11"/>
      <c r="O2088" s="11"/>
      <c r="P2088" s="11"/>
    </row>
    <row r="2089" spans="8:16" x14ac:dyDescent="0.25">
      <c r="H2089" s="12"/>
      <c r="I2089" s="12"/>
      <c r="J2089" s="12"/>
      <c r="K2089" s="12"/>
      <c r="L2089" s="12"/>
      <c r="M2089" s="11"/>
      <c r="N2089" s="11"/>
      <c r="O2089" s="11"/>
      <c r="P2089" s="11"/>
    </row>
    <row r="2090" spans="8:16" x14ac:dyDescent="0.25">
      <c r="H2090" s="12"/>
      <c r="I2090" s="12"/>
      <c r="J2090" s="12"/>
      <c r="K2090" s="12"/>
      <c r="L2090" s="12"/>
      <c r="M2090" s="11"/>
      <c r="N2090" s="11"/>
      <c r="O2090" s="11"/>
      <c r="P2090" s="11"/>
    </row>
    <row r="2091" spans="8:16" x14ac:dyDescent="0.25">
      <c r="H2091" s="12"/>
      <c r="I2091" s="12"/>
      <c r="J2091" s="12"/>
      <c r="K2091" s="12"/>
      <c r="L2091" s="12"/>
      <c r="M2091" s="11"/>
      <c r="N2091" s="11"/>
      <c r="O2091" s="11"/>
      <c r="P2091" s="11"/>
    </row>
    <row r="2092" spans="8:16" x14ac:dyDescent="0.25">
      <c r="H2092" s="12"/>
      <c r="I2092" s="12"/>
      <c r="J2092" s="12"/>
      <c r="K2092" s="12"/>
      <c r="L2092" s="12"/>
      <c r="M2092" s="11"/>
      <c r="N2092" s="11"/>
      <c r="O2092" s="11"/>
      <c r="P2092" s="11"/>
    </row>
    <row r="2093" spans="8:16" x14ac:dyDescent="0.25">
      <c r="H2093" s="12"/>
      <c r="I2093" s="12"/>
      <c r="J2093" s="12"/>
      <c r="K2093" s="12"/>
      <c r="L2093" s="12"/>
      <c r="M2093" s="11"/>
      <c r="N2093" s="11"/>
      <c r="O2093" s="11"/>
      <c r="P2093" s="11"/>
    </row>
    <row r="2094" spans="8:16" x14ac:dyDescent="0.25">
      <c r="H2094" s="12"/>
      <c r="I2094" s="12"/>
      <c r="J2094" s="12"/>
      <c r="K2094" s="12"/>
      <c r="L2094" s="12"/>
      <c r="M2094" s="11"/>
      <c r="N2094" s="11"/>
      <c r="O2094" s="11"/>
      <c r="P2094" s="11"/>
    </row>
    <row r="2095" spans="8:16" x14ac:dyDescent="0.25">
      <c r="H2095" s="12"/>
      <c r="I2095" s="12"/>
      <c r="J2095" s="12"/>
      <c r="K2095" s="12"/>
      <c r="L2095" s="12"/>
      <c r="M2095" s="11"/>
      <c r="N2095" s="11"/>
      <c r="O2095" s="11"/>
      <c r="P2095" s="11"/>
    </row>
    <row r="2096" spans="8:16" x14ac:dyDescent="0.25">
      <c r="H2096" s="12"/>
      <c r="I2096" s="12"/>
      <c r="J2096" s="12"/>
      <c r="K2096" s="12"/>
      <c r="L2096" s="12"/>
      <c r="M2096" s="11"/>
      <c r="N2096" s="11"/>
      <c r="O2096" s="11"/>
      <c r="P2096" s="11"/>
    </row>
    <row r="2097" spans="8:16" x14ac:dyDescent="0.25">
      <c r="H2097" s="12"/>
      <c r="I2097" s="12"/>
      <c r="J2097" s="12"/>
      <c r="K2097" s="12"/>
      <c r="L2097" s="12"/>
      <c r="M2097" s="11"/>
      <c r="N2097" s="11"/>
      <c r="O2097" s="11"/>
      <c r="P2097" s="11"/>
    </row>
    <row r="2098" spans="8:16" x14ac:dyDescent="0.25">
      <c r="H2098" s="12"/>
      <c r="I2098" s="12"/>
      <c r="J2098" s="12"/>
      <c r="K2098" s="12"/>
      <c r="L2098" s="12"/>
      <c r="M2098" s="11"/>
      <c r="N2098" s="11"/>
      <c r="O2098" s="11"/>
      <c r="P2098" s="11"/>
    </row>
    <row r="2099" spans="8:16" x14ac:dyDescent="0.25">
      <c r="H2099" s="12"/>
      <c r="I2099" s="12"/>
      <c r="J2099" s="12"/>
      <c r="K2099" s="12"/>
      <c r="L2099" s="12"/>
      <c r="M2099" s="11"/>
      <c r="N2099" s="11"/>
      <c r="O2099" s="11"/>
      <c r="P2099" s="11"/>
    </row>
    <row r="2100" spans="8:16" x14ac:dyDescent="0.25">
      <c r="H2100" s="12"/>
      <c r="I2100" s="12"/>
      <c r="J2100" s="12"/>
      <c r="K2100" s="12"/>
      <c r="L2100" s="12"/>
      <c r="M2100" s="11"/>
      <c r="N2100" s="11"/>
      <c r="O2100" s="11"/>
      <c r="P2100" s="11"/>
    </row>
    <row r="2101" spans="8:16" x14ac:dyDescent="0.25">
      <c r="H2101" s="12"/>
      <c r="I2101" s="12"/>
      <c r="J2101" s="12"/>
      <c r="K2101" s="12"/>
      <c r="L2101" s="12"/>
      <c r="M2101" s="11"/>
      <c r="N2101" s="11"/>
      <c r="O2101" s="11"/>
      <c r="P2101" s="11"/>
    </row>
    <row r="2102" spans="8:16" x14ac:dyDescent="0.25">
      <c r="H2102" s="12"/>
      <c r="I2102" s="12"/>
      <c r="J2102" s="12"/>
      <c r="K2102" s="12"/>
      <c r="L2102" s="12"/>
      <c r="M2102" s="11"/>
      <c r="N2102" s="11"/>
      <c r="O2102" s="11"/>
      <c r="P2102" s="11"/>
    </row>
    <row r="2103" spans="8:16" x14ac:dyDescent="0.25">
      <c r="H2103" s="12"/>
      <c r="I2103" s="12"/>
      <c r="J2103" s="12"/>
      <c r="K2103" s="12"/>
      <c r="L2103" s="12"/>
      <c r="M2103" s="11"/>
      <c r="N2103" s="11"/>
      <c r="O2103" s="11"/>
      <c r="P2103" s="11"/>
    </row>
    <row r="2104" spans="8:16" x14ac:dyDescent="0.25">
      <c r="H2104" s="12"/>
      <c r="I2104" s="12"/>
      <c r="J2104" s="12"/>
      <c r="K2104" s="12"/>
      <c r="L2104" s="12"/>
      <c r="M2104" s="11"/>
      <c r="N2104" s="11"/>
      <c r="O2104" s="11"/>
      <c r="P2104" s="11"/>
    </row>
    <row r="2105" spans="8:16" x14ac:dyDescent="0.25">
      <c r="H2105" s="12"/>
      <c r="I2105" s="12"/>
      <c r="J2105" s="12"/>
      <c r="K2105" s="12"/>
      <c r="L2105" s="12"/>
      <c r="M2105" s="11"/>
      <c r="N2105" s="11"/>
      <c r="O2105" s="11"/>
      <c r="P2105" s="11"/>
    </row>
    <row r="2106" spans="8:16" x14ac:dyDescent="0.25">
      <c r="H2106" s="12"/>
      <c r="I2106" s="12"/>
      <c r="J2106" s="12"/>
      <c r="K2106" s="12"/>
      <c r="L2106" s="12"/>
      <c r="M2106" s="11"/>
      <c r="N2106" s="11"/>
      <c r="O2106" s="11"/>
      <c r="P2106" s="11"/>
    </row>
    <row r="2107" spans="8:16" x14ac:dyDescent="0.25">
      <c r="H2107" s="12"/>
      <c r="I2107" s="12"/>
      <c r="J2107" s="12"/>
      <c r="K2107" s="12"/>
      <c r="L2107" s="12"/>
      <c r="M2107" s="11"/>
      <c r="N2107" s="11"/>
      <c r="O2107" s="11"/>
      <c r="P2107" s="11"/>
    </row>
    <row r="2108" spans="8:16" x14ac:dyDescent="0.25">
      <c r="H2108" s="12"/>
      <c r="I2108" s="12"/>
      <c r="J2108" s="12"/>
      <c r="K2108" s="12"/>
      <c r="L2108" s="12"/>
      <c r="M2108" s="11"/>
      <c r="N2108" s="11"/>
      <c r="O2108" s="11"/>
      <c r="P2108" s="11"/>
    </row>
    <row r="2109" spans="8:16" x14ac:dyDescent="0.25">
      <c r="H2109" s="12"/>
      <c r="I2109" s="12"/>
      <c r="J2109" s="12"/>
      <c r="K2109" s="12"/>
      <c r="L2109" s="12"/>
      <c r="M2109" s="11"/>
      <c r="N2109" s="11"/>
      <c r="O2109" s="11"/>
      <c r="P2109" s="11"/>
    </row>
    <row r="2110" spans="8:16" x14ac:dyDescent="0.25">
      <c r="H2110" s="12"/>
      <c r="I2110" s="12"/>
      <c r="J2110" s="12"/>
      <c r="K2110" s="12"/>
      <c r="L2110" s="12"/>
      <c r="M2110" s="11"/>
      <c r="N2110" s="11"/>
      <c r="O2110" s="11"/>
      <c r="P2110" s="11"/>
    </row>
    <row r="2111" spans="8:16" x14ac:dyDescent="0.25">
      <c r="H2111" s="12"/>
      <c r="I2111" s="12"/>
      <c r="J2111" s="12"/>
      <c r="K2111" s="12"/>
      <c r="L2111" s="12"/>
      <c r="M2111" s="11"/>
      <c r="N2111" s="11"/>
      <c r="O2111" s="11"/>
      <c r="P2111" s="11"/>
    </row>
    <row r="2112" spans="8:16" x14ac:dyDescent="0.25">
      <c r="H2112" s="12"/>
      <c r="I2112" s="12"/>
      <c r="J2112" s="12"/>
      <c r="K2112" s="12"/>
      <c r="L2112" s="12"/>
      <c r="M2112" s="11"/>
      <c r="N2112" s="11"/>
      <c r="O2112" s="11"/>
      <c r="P2112" s="11"/>
    </row>
    <row r="2113" spans="8:16" x14ac:dyDescent="0.25">
      <c r="H2113" s="12"/>
      <c r="I2113" s="12"/>
      <c r="J2113" s="12"/>
      <c r="K2113" s="12"/>
      <c r="L2113" s="12"/>
      <c r="M2113" s="11"/>
      <c r="N2113" s="11"/>
      <c r="O2113" s="11"/>
      <c r="P2113" s="11"/>
    </row>
    <row r="2114" spans="8:16" x14ac:dyDescent="0.25">
      <c r="H2114" s="12"/>
      <c r="I2114" s="12"/>
      <c r="J2114" s="12"/>
      <c r="K2114" s="12"/>
      <c r="L2114" s="12"/>
      <c r="M2114" s="11"/>
      <c r="N2114" s="11"/>
      <c r="O2114" s="11"/>
      <c r="P2114" s="11"/>
    </row>
    <row r="2115" spans="8:16" x14ac:dyDescent="0.25">
      <c r="H2115" s="12"/>
      <c r="I2115" s="12"/>
      <c r="J2115" s="12"/>
      <c r="K2115" s="12"/>
      <c r="L2115" s="12"/>
      <c r="M2115" s="11"/>
      <c r="N2115" s="11"/>
      <c r="O2115" s="11"/>
      <c r="P2115" s="11"/>
    </row>
    <row r="2116" spans="8:16" x14ac:dyDescent="0.25">
      <c r="H2116" s="12"/>
      <c r="I2116" s="12"/>
      <c r="J2116" s="12"/>
      <c r="K2116" s="12"/>
      <c r="L2116" s="12"/>
      <c r="M2116" s="11"/>
      <c r="N2116" s="11"/>
      <c r="O2116" s="11"/>
      <c r="P2116" s="11"/>
    </row>
    <row r="2117" spans="8:16" x14ac:dyDescent="0.25">
      <c r="H2117" s="12"/>
      <c r="I2117" s="12"/>
      <c r="J2117" s="12"/>
      <c r="K2117" s="12"/>
      <c r="L2117" s="12"/>
      <c r="M2117" s="11"/>
      <c r="N2117" s="11"/>
      <c r="O2117" s="11"/>
      <c r="P2117" s="11"/>
    </row>
    <row r="2118" spans="8:16" x14ac:dyDescent="0.25">
      <c r="H2118" s="12"/>
      <c r="I2118" s="12"/>
      <c r="J2118" s="12"/>
      <c r="K2118" s="12"/>
      <c r="L2118" s="12"/>
      <c r="M2118" s="11"/>
      <c r="N2118" s="11"/>
      <c r="O2118" s="11"/>
      <c r="P2118" s="11"/>
    </row>
    <row r="2119" spans="8:16" x14ac:dyDescent="0.25">
      <c r="H2119" s="12"/>
      <c r="I2119" s="12"/>
      <c r="J2119" s="12"/>
      <c r="K2119" s="12"/>
      <c r="L2119" s="12"/>
      <c r="M2119" s="11"/>
      <c r="N2119" s="11"/>
      <c r="O2119" s="11"/>
      <c r="P2119" s="11"/>
    </row>
    <row r="2120" spans="8:16" x14ac:dyDescent="0.25">
      <c r="H2120" s="12"/>
      <c r="I2120" s="12"/>
      <c r="J2120" s="12"/>
      <c r="K2120" s="12"/>
      <c r="L2120" s="12"/>
      <c r="M2120" s="11"/>
      <c r="N2120" s="11"/>
      <c r="O2120" s="11"/>
      <c r="P2120" s="11"/>
    </row>
    <row r="2121" spans="8:16" x14ac:dyDescent="0.25">
      <c r="H2121" s="12"/>
      <c r="I2121" s="12"/>
      <c r="J2121" s="12"/>
      <c r="K2121" s="12"/>
      <c r="L2121" s="12"/>
      <c r="M2121" s="11"/>
      <c r="N2121" s="11"/>
      <c r="O2121" s="11"/>
      <c r="P2121" s="11"/>
    </row>
    <row r="2122" spans="8:16" x14ac:dyDescent="0.25">
      <c r="H2122" s="12"/>
      <c r="I2122" s="12"/>
      <c r="J2122" s="12"/>
      <c r="K2122" s="12"/>
      <c r="L2122" s="12"/>
      <c r="M2122" s="11"/>
      <c r="N2122" s="11"/>
      <c r="O2122" s="11"/>
      <c r="P2122" s="11"/>
    </row>
    <row r="2123" spans="8:16" x14ac:dyDescent="0.25">
      <c r="H2123" s="12"/>
      <c r="I2123" s="12"/>
      <c r="J2123" s="12"/>
      <c r="K2123" s="12"/>
      <c r="L2123" s="12"/>
      <c r="M2123" s="11"/>
      <c r="N2123" s="11"/>
      <c r="O2123" s="11"/>
      <c r="P2123" s="11"/>
    </row>
    <row r="2124" spans="8:16" x14ac:dyDescent="0.25">
      <c r="H2124" s="12"/>
      <c r="I2124" s="12"/>
      <c r="J2124" s="12"/>
      <c r="K2124" s="12"/>
      <c r="L2124" s="12"/>
      <c r="M2124" s="11"/>
      <c r="N2124" s="11"/>
      <c r="O2124" s="11"/>
      <c r="P2124" s="11"/>
    </row>
    <row r="2125" spans="8:16" x14ac:dyDescent="0.25">
      <c r="H2125" s="12"/>
      <c r="I2125" s="12"/>
      <c r="J2125" s="12"/>
      <c r="K2125" s="12"/>
      <c r="L2125" s="12"/>
      <c r="M2125" s="11"/>
      <c r="N2125" s="11"/>
      <c r="O2125" s="11"/>
      <c r="P2125" s="11"/>
    </row>
    <row r="2126" spans="8:16" x14ac:dyDescent="0.25">
      <c r="H2126" s="12"/>
      <c r="I2126" s="12"/>
      <c r="J2126" s="12"/>
      <c r="K2126" s="12"/>
      <c r="L2126" s="12"/>
      <c r="M2126" s="11"/>
      <c r="N2126" s="11"/>
      <c r="O2126" s="11"/>
      <c r="P2126" s="11"/>
    </row>
    <row r="2127" spans="8:16" x14ac:dyDescent="0.25">
      <c r="H2127" s="12"/>
      <c r="I2127" s="12"/>
      <c r="J2127" s="12"/>
      <c r="K2127" s="12"/>
      <c r="L2127" s="12"/>
      <c r="M2127" s="11"/>
      <c r="N2127" s="11"/>
      <c r="O2127" s="11"/>
      <c r="P2127" s="11"/>
    </row>
    <row r="2128" spans="8:16" x14ac:dyDescent="0.25">
      <c r="H2128" s="12"/>
      <c r="I2128" s="12"/>
      <c r="J2128" s="12"/>
      <c r="K2128" s="12"/>
      <c r="L2128" s="12"/>
      <c r="M2128" s="11"/>
      <c r="N2128" s="11"/>
      <c r="O2128" s="11"/>
      <c r="P2128" s="11"/>
    </row>
    <row r="2129" spans="8:16" x14ac:dyDescent="0.25">
      <c r="H2129" s="12"/>
      <c r="I2129" s="12"/>
      <c r="J2129" s="12"/>
      <c r="K2129" s="12"/>
      <c r="L2129" s="12"/>
      <c r="M2129" s="11"/>
      <c r="N2129" s="11"/>
      <c r="O2129" s="11"/>
      <c r="P2129" s="11"/>
    </row>
    <row r="2130" spans="8:16" x14ac:dyDescent="0.25">
      <c r="H2130" s="12"/>
      <c r="I2130" s="12"/>
      <c r="J2130" s="12"/>
      <c r="K2130" s="12"/>
      <c r="L2130" s="12"/>
      <c r="M2130" s="11"/>
      <c r="N2130" s="11"/>
      <c r="O2130" s="11"/>
      <c r="P2130" s="11"/>
    </row>
    <row r="2131" spans="8:16" x14ac:dyDescent="0.25">
      <c r="H2131" s="12"/>
      <c r="I2131" s="12"/>
      <c r="J2131" s="12"/>
      <c r="K2131" s="12"/>
      <c r="L2131" s="12"/>
      <c r="M2131" s="11"/>
      <c r="N2131" s="11"/>
      <c r="O2131" s="11"/>
      <c r="P2131" s="11"/>
    </row>
    <row r="2132" spans="8:16" x14ac:dyDescent="0.25">
      <c r="H2132" s="12"/>
      <c r="I2132" s="12"/>
      <c r="J2132" s="12"/>
      <c r="K2132" s="12"/>
      <c r="L2132" s="12"/>
      <c r="M2132" s="11"/>
      <c r="N2132" s="11"/>
      <c r="O2132" s="11"/>
      <c r="P2132" s="11"/>
    </row>
    <row r="2133" spans="8:16" x14ac:dyDescent="0.25">
      <c r="H2133" s="12"/>
      <c r="I2133" s="12"/>
      <c r="J2133" s="12"/>
      <c r="K2133" s="12"/>
      <c r="L2133" s="12"/>
      <c r="M2133" s="11"/>
      <c r="N2133" s="11"/>
      <c r="O2133" s="11"/>
      <c r="P2133" s="11"/>
    </row>
    <row r="2134" spans="8:16" x14ac:dyDescent="0.25">
      <c r="H2134" s="12"/>
      <c r="I2134" s="12"/>
      <c r="J2134" s="12"/>
      <c r="K2134" s="12"/>
      <c r="L2134" s="12"/>
      <c r="M2134" s="11"/>
      <c r="N2134" s="11"/>
      <c r="O2134" s="11"/>
      <c r="P2134" s="11"/>
    </row>
    <row r="2135" spans="8:16" x14ac:dyDescent="0.25">
      <c r="H2135" s="12"/>
      <c r="I2135" s="12"/>
      <c r="J2135" s="12"/>
      <c r="K2135" s="12"/>
      <c r="L2135" s="12"/>
      <c r="M2135" s="11"/>
      <c r="N2135" s="11"/>
      <c r="O2135" s="11"/>
      <c r="P2135" s="11"/>
    </row>
    <row r="2136" spans="8:16" x14ac:dyDescent="0.25">
      <c r="H2136" s="12"/>
      <c r="I2136" s="12"/>
      <c r="J2136" s="12"/>
      <c r="K2136" s="12"/>
      <c r="L2136" s="12"/>
      <c r="M2136" s="11"/>
      <c r="N2136" s="11"/>
      <c r="O2136" s="11"/>
      <c r="P2136" s="11"/>
    </row>
    <row r="2137" spans="8:16" x14ac:dyDescent="0.25">
      <c r="H2137" s="12"/>
      <c r="I2137" s="12"/>
      <c r="J2137" s="12"/>
      <c r="K2137" s="12"/>
      <c r="L2137" s="12"/>
      <c r="M2137" s="11"/>
      <c r="N2137" s="11"/>
      <c r="O2137" s="11"/>
      <c r="P2137" s="11"/>
    </row>
    <row r="2138" spans="8:16" x14ac:dyDescent="0.25">
      <c r="H2138" s="12"/>
      <c r="I2138" s="12"/>
      <c r="J2138" s="12"/>
      <c r="K2138" s="12"/>
      <c r="L2138" s="12"/>
      <c r="M2138" s="11"/>
      <c r="N2138" s="11"/>
      <c r="O2138" s="11"/>
      <c r="P2138" s="11"/>
    </row>
    <row r="2139" spans="8:16" x14ac:dyDescent="0.25">
      <c r="H2139" s="12"/>
      <c r="I2139" s="12"/>
      <c r="J2139" s="12"/>
      <c r="K2139" s="12"/>
      <c r="L2139" s="12"/>
      <c r="M2139" s="11"/>
      <c r="N2139" s="11"/>
      <c r="O2139" s="11"/>
      <c r="P2139" s="11"/>
    </row>
    <row r="2140" spans="8:16" x14ac:dyDescent="0.25">
      <c r="H2140" s="12"/>
      <c r="I2140" s="12"/>
      <c r="J2140" s="12"/>
      <c r="K2140" s="12"/>
      <c r="L2140" s="12"/>
      <c r="M2140" s="11"/>
      <c r="N2140" s="11"/>
      <c r="O2140" s="11"/>
      <c r="P2140" s="11"/>
    </row>
    <row r="2141" spans="8:16" x14ac:dyDescent="0.25">
      <c r="H2141" s="12"/>
      <c r="I2141" s="12"/>
      <c r="J2141" s="12"/>
      <c r="K2141" s="12"/>
      <c r="L2141" s="12"/>
      <c r="M2141" s="11"/>
      <c r="N2141" s="11"/>
      <c r="O2141" s="11"/>
      <c r="P2141" s="11"/>
    </row>
    <row r="2142" spans="8:16" x14ac:dyDescent="0.25">
      <c r="H2142" s="12"/>
      <c r="I2142" s="12"/>
      <c r="J2142" s="12"/>
      <c r="K2142" s="12"/>
      <c r="L2142" s="12"/>
      <c r="M2142" s="11"/>
      <c r="N2142" s="11"/>
      <c r="O2142" s="11"/>
      <c r="P2142" s="11"/>
    </row>
    <row r="2143" spans="8:16" x14ac:dyDescent="0.25">
      <c r="H2143" s="12"/>
      <c r="I2143" s="12"/>
      <c r="J2143" s="12"/>
      <c r="K2143" s="12"/>
      <c r="L2143" s="12"/>
      <c r="M2143" s="11"/>
      <c r="N2143" s="11"/>
      <c r="O2143" s="11"/>
      <c r="P2143" s="11"/>
    </row>
    <row r="2144" spans="8:16" x14ac:dyDescent="0.25">
      <c r="H2144" s="12"/>
      <c r="I2144" s="12"/>
      <c r="J2144" s="12"/>
      <c r="K2144" s="12"/>
      <c r="L2144" s="12"/>
      <c r="M2144" s="11"/>
      <c r="N2144" s="11"/>
      <c r="O2144" s="11"/>
      <c r="P2144" s="11"/>
    </row>
    <row r="2145" spans="8:16" x14ac:dyDescent="0.25">
      <c r="H2145" s="12"/>
      <c r="I2145" s="12"/>
      <c r="J2145" s="12"/>
      <c r="K2145" s="12"/>
      <c r="L2145" s="12"/>
      <c r="M2145" s="11"/>
      <c r="N2145" s="11"/>
      <c r="O2145" s="11"/>
      <c r="P2145" s="11"/>
    </row>
    <row r="2146" spans="8:16" x14ac:dyDescent="0.25">
      <c r="H2146" s="12"/>
      <c r="I2146" s="12"/>
      <c r="J2146" s="12"/>
      <c r="K2146" s="12"/>
      <c r="L2146" s="12"/>
      <c r="M2146" s="11"/>
      <c r="N2146" s="11"/>
      <c r="O2146" s="11"/>
      <c r="P2146" s="11"/>
    </row>
    <row r="2147" spans="8:16" x14ac:dyDescent="0.25">
      <c r="H2147" s="12"/>
      <c r="I2147" s="12"/>
      <c r="J2147" s="12"/>
      <c r="K2147" s="12"/>
      <c r="L2147" s="12"/>
      <c r="M2147" s="11"/>
      <c r="N2147" s="11"/>
      <c r="O2147" s="11"/>
      <c r="P2147" s="11"/>
    </row>
    <row r="2148" spans="8:16" x14ac:dyDescent="0.25">
      <c r="H2148" s="12"/>
      <c r="I2148" s="12"/>
      <c r="J2148" s="12"/>
      <c r="K2148" s="12"/>
      <c r="L2148" s="12"/>
      <c r="M2148" s="11"/>
      <c r="N2148" s="11"/>
      <c r="O2148" s="11"/>
      <c r="P2148" s="11"/>
    </row>
    <row r="2149" spans="8:16" x14ac:dyDescent="0.25">
      <c r="H2149" s="12"/>
      <c r="I2149" s="12"/>
      <c r="J2149" s="12"/>
      <c r="K2149" s="12"/>
      <c r="L2149" s="12"/>
      <c r="M2149" s="11"/>
      <c r="N2149" s="11"/>
      <c r="O2149" s="11"/>
      <c r="P2149" s="11"/>
    </row>
    <row r="2150" spans="8:16" x14ac:dyDescent="0.25">
      <c r="H2150" s="12"/>
      <c r="I2150" s="12"/>
      <c r="J2150" s="12"/>
      <c r="K2150" s="12"/>
      <c r="L2150" s="12"/>
      <c r="M2150" s="11"/>
      <c r="N2150" s="11"/>
      <c r="O2150" s="11"/>
      <c r="P2150" s="11"/>
    </row>
    <row r="2151" spans="8:16" x14ac:dyDescent="0.25">
      <c r="H2151" s="12"/>
      <c r="I2151" s="12"/>
      <c r="J2151" s="12"/>
      <c r="K2151" s="12"/>
      <c r="L2151" s="12"/>
      <c r="M2151" s="11"/>
      <c r="N2151" s="11"/>
      <c r="O2151" s="11"/>
      <c r="P2151" s="11"/>
    </row>
    <row r="2152" spans="8:16" x14ac:dyDescent="0.25">
      <c r="H2152" s="12"/>
      <c r="I2152" s="12"/>
      <c r="J2152" s="12"/>
      <c r="K2152" s="12"/>
      <c r="L2152" s="12"/>
      <c r="M2152" s="11"/>
      <c r="N2152" s="11"/>
      <c r="O2152" s="11"/>
      <c r="P2152" s="11"/>
    </row>
    <row r="2153" spans="8:16" x14ac:dyDescent="0.25">
      <c r="H2153" s="12"/>
      <c r="I2153" s="12"/>
      <c r="J2153" s="12"/>
      <c r="K2153" s="12"/>
      <c r="L2153" s="12"/>
      <c r="M2153" s="11"/>
      <c r="N2153" s="11"/>
      <c r="O2153" s="11"/>
      <c r="P2153" s="11"/>
    </row>
    <row r="2154" spans="8:16" x14ac:dyDescent="0.25">
      <c r="H2154" s="12"/>
      <c r="I2154" s="12"/>
      <c r="J2154" s="12"/>
      <c r="K2154" s="12"/>
      <c r="L2154" s="12"/>
      <c r="M2154" s="11"/>
      <c r="N2154" s="11"/>
      <c r="O2154" s="11"/>
      <c r="P2154" s="11"/>
    </row>
    <row r="2155" spans="8:16" x14ac:dyDescent="0.25">
      <c r="H2155" s="12"/>
      <c r="I2155" s="12"/>
      <c r="J2155" s="12"/>
      <c r="K2155" s="12"/>
      <c r="L2155" s="12"/>
      <c r="M2155" s="11"/>
      <c r="N2155" s="11"/>
      <c r="O2155" s="11"/>
      <c r="P2155" s="11"/>
    </row>
    <row r="2156" spans="8:16" x14ac:dyDescent="0.25">
      <c r="H2156" s="12"/>
      <c r="I2156" s="12"/>
      <c r="J2156" s="12"/>
      <c r="K2156" s="12"/>
      <c r="L2156" s="12"/>
      <c r="M2156" s="11"/>
      <c r="N2156" s="11"/>
      <c r="O2156" s="11"/>
      <c r="P2156" s="11"/>
    </row>
    <row r="2157" spans="8:16" x14ac:dyDescent="0.25">
      <c r="H2157" s="12"/>
      <c r="I2157" s="12"/>
      <c r="J2157" s="12"/>
      <c r="K2157" s="12"/>
      <c r="L2157" s="12"/>
      <c r="M2157" s="11"/>
      <c r="N2157" s="11"/>
      <c r="O2157" s="11"/>
      <c r="P2157" s="11"/>
    </row>
    <row r="2158" spans="8:16" x14ac:dyDescent="0.25">
      <c r="H2158" s="12"/>
      <c r="I2158" s="12"/>
      <c r="J2158" s="12"/>
      <c r="K2158" s="12"/>
      <c r="L2158" s="12"/>
      <c r="M2158" s="11"/>
      <c r="N2158" s="11"/>
      <c r="O2158" s="11"/>
      <c r="P2158" s="11"/>
    </row>
    <row r="2159" spans="8:16" x14ac:dyDescent="0.25">
      <c r="H2159" s="12"/>
      <c r="I2159" s="12"/>
      <c r="J2159" s="12"/>
      <c r="K2159" s="12"/>
      <c r="L2159" s="12"/>
      <c r="M2159" s="11"/>
      <c r="N2159" s="11"/>
      <c r="O2159" s="11"/>
      <c r="P2159" s="11"/>
    </row>
    <row r="2160" spans="8:16" x14ac:dyDescent="0.25">
      <c r="H2160" s="12"/>
      <c r="I2160" s="12"/>
      <c r="J2160" s="12"/>
      <c r="K2160" s="12"/>
      <c r="L2160" s="12"/>
      <c r="M2160" s="11"/>
      <c r="N2160" s="11"/>
      <c r="O2160" s="11"/>
      <c r="P2160" s="11"/>
    </row>
    <row r="2161" spans="8:16" x14ac:dyDescent="0.25">
      <c r="H2161" s="12"/>
      <c r="I2161" s="12"/>
      <c r="J2161" s="12"/>
      <c r="K2161" s="12"/>
      <c r="L2161" s="12"/>
      <c r="M2161" s="11"/>
      <c r="N2161" s="11"/>
      <c r="O2161" s="11"/>
      <c r="P2161" s="11"/>
    </row>
    <row r="2162" spans="8:16" x14ac:dyDescent="0.25">
      <c r="H2162" s="12"/>
      <c r="I2162" s="12"/>
      <c r="J2162" s="12"/>
      <c r="K2162" s="12"/>
      <c r="L2162" s="12"/>
      <c r="M2162" s="11"/>
      <c r="N2162" s="11"/>
      <c r="O2162" s="11"/>
      <c r="P2162" s="11"/>
    </row>
    <row r="2163" spans="8:16" x14ac:dyDescent="0.25">
      <c r="H2163" s="12"/>
      <c r="I2163" s="12"/>
      <c r="J2163" s="12"/>
      <c r="K2163" s="12"/>
      <c r="L2163" s="12"/>
      <c r="M2163" s="11"/>
      <c r="N2163" s="11"/>
      <c r="O2163" s="11"/>
      <c r="P2163" s="11"/>
    </row>
    <row r="2164" spans="8:16" x14ac:dyDescent="0.25">
      <c r="H2164" s="12"/>
      <c r="I2164" s="12"/>
      <c r="J2164" s="12"/>
      <c r="K2164" s="12"/>
      <c r="L2164" s="12"/>
      <c r="M2164" s="11"/>
      <c r="N2164" s="11"/>
      <c r="O2164" s="11"/>
      <c r="P2164" s="11"/>
    </row>
    <row r="2165" spans="8:16" x14ac:dyDescent="0.25">
      <c r="H2165" s="12"/>
      <c r="I2165" s="12"/>
      <c r="J2165" s="12"/>
      <c r="K2165" s="12"/>
      <c r="L2165" s="12"/>
      <c r="M2165" s="11"/>
      <c r="N2165" s="11"/>
      <c r="O2165" s="11"/>
      <c r="P2165" s="11"/>
    </row>
    <row r="2166" spans="8:16" x14ac:dyDescent="0.25">
      <c r="H2166" s="12"/>
      <c r="I2166" s="12"/>
      <c r="J2166" s="12"/>
      <c r="K2166" s="12"/>
      <c r="L2166" s="12"/>
      <c r="M2166" s="11"/>
      <c r="N2166" s="11"/>
      <c r="O2166" s="11"/>
      <c r="P2166" s="11"/>
    </row>
    <row r="2167" spans="8:16" x14ac:dyDescent="0.25">
      <c r="H2167" s="12"/>
      <c r="I2167" s="12"/>
      <c r="J2167" s="12"/>
      <c r="K2167" s="12"/>
      <c r="L2167" s="12"/>
      <c r="M2167" s="11"/>
      <c r="N2167" s="11"/>
      <c r="O2167" s="11"/>
      <c r="P2167" s="11"/>
    </row>
    <row r="2168" spans="8:16" x14ac:dyDescent="0.25">
      <c r="H2168" s="12"/>
      <c r="I2168" s="12"/>
      <c r="J2168" s="12"/>
      <c r="K2168" s="12"/>
      <c r="L2168" s="12"/>
      <c r="M2168" s="11"/>
      <c r="N2168" s="11"/>
      <c r="O2168" s="11"/>
      <c r="P2168" s="11"/>
    </row>
    <row r="2169" spans="8:16" x14ac:dyDescent="0.25">
      <c r="H2169" s="12"/>
      <c r="I2169" s="12"/>
      <c r="J2169" s="12"/>
      <c r="K2169" s="12"/>
      <c r="L2169" s="12"/>
      <c r="M2169" s="11"/>
      <c r="N2169" s="11"/>
      <c r="O2169" s="11"/>
      <c r="P2169" s="11"/>
    </row>
    <row r="2170" spans="8:16" x14ac:dyDescent="0.25">
      <c r="H2170" s="12"/>
      <c r="I2170" s="12"/>
      <c r="J2170" s="12"/>
      <c r="K2170" s="12"/>
      <c r="L2170" s="12"/>
      <c r="M2170" s="11"/>
      <c r="N2170" s="11"/>
      <c r="O2170" s="11"/>
      <c r="P2170" s="11"/>
    </row>
    <row r="2171" spans="8:16" x14ac:dyDescent="0.25">
      <c r="H2171" s="12"/>
      <c r="I2171" s="12"/>
      <c r="J2171" s="12"/>
      <c r="K2171" s="12"/>
      <c r="L2171" s="12"/>
      <c r="M2171" s="11"/>
      <c r="N2171" s="11"/>
      <c r="O2171" s="11"/>
      <c r="P2171" s="11"/>
    </row>
    <row r="2172" spans="8:16" x14ac:dyDescent="0.25">
      <c r="H2172" s="12"/>
      <c r="I2172" s="12"/>
      <c r="J2172" s="12"/>
      <c r="K2172" s="12"/>
      <c r="L2172" s="12"/>
      <c r="M2172" s="11"/>
      <c r="N2172" s="11"/>
      <c r="O2172" s="11"/>
      <c r="P2172" s="11"/>
    </row>
    <row r="2173" spans="8:16" x14ac:dyDescent="0.25">
      <c r="H2173" s="12"/>
      <c r="I2173" s="12"/>
      <c r="J2173" s="12"/>
      <c r="K2173" s="12"/>
      <c r="L2173" s="12"/>
      <c r="M2173" s="11"/>
      <c r="N2173" s="11"/>
      <c r="O2173" s="11"/>
      <c r="P2173" s="11"/>
    </row>
    <row r="2174" spans="8:16" x14ac:dyDescent="0.25">
      <c r="H2174" s="12"/>
      <c r="I2174" s="12"/>
      <c r="J2174" s="12"/>
      <c r="K2174" s="12"/>
      <c r="L2174" s="12"/>
      <c r="M2174" s="11"/>
      <c r="N2174" s="11"/>
      <c r="O2174" s="11"/>
      <c r="P2174" s="11"/>
    </row>
    <row r="2175" spans="8:16" x14ac:dyDescent="0.25">
      <c r="H2175" s="12"/>
      <c r="I2175" s="12"/>
      <c r="J2175" s="12"/>
      <c r="K2175" s="12"/>
      <c r="L2175" s="12"/>
      <c r="M2175" s="11"/>
      <c r="N2175" s="11"/>
      <c r="O2175" s="11"/>
      <c r="P2175" s="11"/>
    </row>
    <row r="2176" spans="8:16" x14ac:dyDescent="0.25">
      <c r="H2176" s="12"/>
      <c r="I2176" s="12"/>
      <c r="J2176" s="12"/>
      <c r="K2176" s="12"/>
      <c r="L2176" s="12"/>
      <c r="M2176" s="11"/>
      <c r="N2176" s="11"/>
      <c r="O2176" s="11"/>
      <c r="P2176" s="11"/>
    </row>
    <row r="2177" spans="8:16" x14ac:dyDescent="0.25">
      <c r="H2177" s="12"/>
      <c r="I2177" s="12"/>
      <c r="J2177" s="12"/>
      <c r="K2177" s="12"/>
      <c r="L2177" s="12"/>
      <c r="M2177" s="11"/>
      <c r="N2177" s="11"/>
      <c r="O2177" s="11"/>
      <c r="P2177" s="11"/>
    </row>
    <row r="2178" spans="8:16" x14ac:dyDescent="0.25">
      <c r="H2178" s="12"/>
      <c r="I2178" s="12"/>
      <c r="J2178" s="12"/>
      <c r="K2178" s="12"/>
      <c r="L2178" s="12"/>
      <c r="M2178" s="11"/>
      <c r="N2178" s="11"/>
      <c r="O2178" s="11"/>
      <c r="P2178" s="11"/>
    </row>
    <row r="2179" spans="8:16" x14ac:dyDescent="0.25">
      <c r="H2179" s="12"/>
      <c r="I2179" s="12"/>
      <c r="J2179" s="12"/>
      <c r="K2179" s="12"/>
      <c r="L2179" s="12"/>
      <c r="M2179" s="11"/>
      <c r="N2179" s="11"/>
      <c r="O2179" s="11"/>
      <c r="P2179" s="11"/>
    </row>
    <row r="2180" spans="8:16" x14ac:dyDescent="0.25">
      <c r="H2180" s="12"/>
      <c r="I2180" s="12"/>
      <c r="J2180" s="12"/>
      <c r="K2180" s="12"/>
      <c r="L2180" s="12"/>
      <c r="M2180" s="11"/>
      <c r="N2180" s="11"/>
      <c r="O2180" s="11"/>
      <c r="P2180" s="11"/>
    </row>
    <row r="2181" spans="8:16" x14ac:dyDescent="0.25">
      <c r="H2181" s="12"/>
      <c r="I2181" s="12"/>
      <c r="J2181" s="12"/>
      <c r="K2181" s="12"/>
      <c r="L2181" s="12"/>
      <c r="M2181" s="11"/>
      <c r="N2181" s="11"/>
      <c r="O2181" s="11"/>
      <c r="P2181" s="11"/>
    </row>
    <row r="2182" spans="8:16" x14ac:dyDescent="0.25">
      <c r="H2182" s="12"/>
      <c r="I2182" s="12"/>
      <c r="J2182" s="12"/>
      <c r="K2182" s="12"/>
      <c r="L2182" s="12"/>
      <c r="M2182" s="11"/>
      <c r="N2182" s="11"/>
      <c r="O2182" s="11"/>
      <c r="P2182" s="11"/>
    </row>
    <row r="2183" spans="8:16" x14ac:dyDescent="0.25">
      <c r="H2183" s="12"/>
      <c r="I2183" s="12"/>
      <c r="J2183" s="12"/>
      <c r="K2183" s="12"/>
      <c r="L2183" s="12"/>
      <c r="M2183" s="11"/>
      <c r="N2183" s="11"/>
      <c r="O2183" s="11"/>
      <c r="P2183" s="11"/>
    </row>
    <row r="2184" spans="8:16" x14ac:dyDescent="0.25">
      <c r="H2184" s="12"/>
      <c r="I2184" s="12"/>
      <c r="J2184" s="12"/>
      <c r="K2184" s="12"/>
      <c r="L2184" s="12"/>
      <c r="M2184" s="11"/>
      <c r="N2184" s="11"/>
      <c r="O2184" s="11"/>
      <c r="P2184" s="11"/>
    </row>
    <row r="2185" spans="8:16" x14ac:dyDescent="0.25">
      <c r="H2185" s="12"/>
      <c r="I2185" s="12"/>
      <c r="J2185" s="12"/>
      <c r="K2185" s="12"/>
      <c r="L2185" s="12"/>
      <c r="M2185" s="11"/>
      <c r="N2185" s="11"/>
      <c r="O2185" s="11"/>
      <c r="P2185" s="11"/>
    </row>
    <row r="2186" spans="8:16" x14ac:dyDescent="0.25">
      <c r="H2186" s="12"/>
      <c r="I2186" s="12"/>
      <c r="J2186" s="12"/>
      <c r="K2186" s="12"/>
      <c r="L2186" s="12"/>
      <c r="M2186" s="11"/>
      <c r="N2186" s="11"/>
      <c r="O2186" s="11"/>
      <c r="P2186" s="11"/>
    </row>
    <row r="2187" spans="8:16" x14ac:dyDescent="0.25">
      <c r="H2187" s="12"/>
      <c r="I2187" s="12"/>
      <c r="J2187" s="12"/>
      <c r="K2187" s="12"/>
      <c r="L2187" s="12"/>
      <c r="M2187" s="11"/>
      <c r="N2187" s="11"/>
      <c r="O2187" s="11"/>
      <c r="P2187" s="11"/>
    </row>
    <row r="2188" spans="8:16" x14ac:dyDescent="0.25">
      <c r="H2188" s="12"/>
      <c r="I2188" s="12"/>
      <c r="J2188" s="12"/>
      <c r="K2188" s="12"/>
      <c r="L2188" s="12"/>
      <c r="M2188" s="11"/>
      <c r="N2188" s="11"/>
      <c r="O2188" s="11"/>
      <c r="P2188" s="11"/>
    </row>
    <row r="2189" spans="8:16" x14ac:dyDescent="0.25">
      <c r="H2189" s="12"/>
      <c r="I2189" s="12"/>
      <c r="J2189" s="12"/>
      <c r="K2189" s="12"/>
      <c r="L2189" s="12"/>
      <c r="M2189" s="11"/>
      <c r="N2189" s="11"/>
      <c r="O2189" s="11"/>
      <c r="P2189" s="11"/>
    </row>
    <row r="2190" spans="8:16" x14ac:dyDescent="0.25">
      <c r="H2190" s="12"/>
      <c r="I2190" s="12"/>
      <c r="J2190" s="12"/>
      <c r="K2190" s="12"/>
      <c r="L2190" s="12"/>
      <c r="M2190" s="11"/>
      <c r="N2190" s="11"/>
      <c r="O2190" s="11"/>
      <c r="P2190" s="11"/>
    </row>
    <row r="2191" spans="8:16" x14ac:dyDescent="0.25">
      <c r="H2191" s="12"/>
      <c r="I2191" s="12"/>
      <c r="J2191" s="12"/>
      <c r="K2191" s="12"/>
      <c r="L2191" s="12"/>
      <c r="M2191" s="11"/>
      <c r="N2191" s="11"/>
      <c r="O2191" s="11"/>
      <c r="P2191" s="11"/>
    </row>
    <row r="2192" spans="8:16" x14ac:dyDescent="0.25">
      <c r="H2192" s="12"/>
      <c r="I2192" s="12"/>
      <c r="J2192" s="12"/>
      <c r="K2192" s="12"/>
      <c r="L2192" s="12"/>
      <c r="M2192" s="11"/>
      <c r="N2192" s="11"/>
      <c r="O2192" s="11"/>
      <c r="P2192" s="11"/>
    </row>
    <row r="2193" spans="8:16" x14ac:dyDescent="0.25">
      <c r="H2193" s="12"/>
      <c r="I2193" s="12"/>
      <c r="J2193" s="12"/>
      <c r="K2193" s="12"/>
      <c r="L2193" s="12"/>
      <c r="M2193" s="11"/>
      <c r="N2193" s="11"/>
      <c r="O2193" s="11"/>
      <c r="P2193" s="11"/>
    </row>
    <row r="2194" spans="8:16" x14ac:dyDescent="0.25">
      <c r="H2194" s="12"/>
      <c r="I2194" s="12"/>
      <c r="J2194" s="12"/>
      <c r="K2194" s="12"/>
      <c r="L2194" s="12"/>
      <c r="M2194" s="11"/>
      <c r="N2194" s="11"/>
      <c r="O2194" s="11"/>
      <c r="P2194" s="11"/>
    </row>
    <row r="2195" spans="8:16" x14ac:dyDescent="0.25">
      <c r="H2195" s="12"/>
      <c r="I2195" s="12"/>
      <c r="J2195" s="12"/>
      <c r="K2195" s="12"/>
      <c r="L2195" s="12"/>
      <c r="M2195" s="11"/>
      <c r="N2195" s="11"/>
      <c r="O2195" s="11"/>
      <c r="P2195" s="11"/>
    </row>
    <row r="2196" spans="8:16" x14ac:dyDescent="0.25">
      <c r="H2196" s="12"/>
      <c r="I2196" s="12"/>
      <c r="J2196" s="12"/>
      <c r="K2196" s="12"/>
      <c r="L2196" s="12"/>
      <c r="M2196" s="11"/>
      <c r="N2196" s="11"/>
      <c r="O2196" s="11"/>
      <c r="P2196" s="11"/>
    </row>
    <row r="2197" spans="8:16" x14ac:dyDescent="0.25">
      <c r="H2197" s="12"/>
      <c r="I2197" s="12"/>
      <c r="J2197" s="12"/>
      <c r="K2197" s="12"/>
      <c r="L2197" s="12"/>
      <c r="M2197" s="11"/>
      <c r="N2197" s="11"/>
      <c r="O2197" s="11"/>
      <c r="P2197" s="11"/>
    </row>
    <row r="2198" spans="8:16" x14ac:dyDescent="0.25">
      <c r="H2198" s="12"/>
      <c r="I2198" s="12"/>
      <c r="J2198" s="12"/>
      <c r="K2198" s="12"/>
      <c r="L2198" s="12"/>
      <c r="M2198" s="11"/>
      <c r="N2198" s="11"/>
      <c r="O2198" s="11"/>
      <c r="P2198" s="11"/>
    </row>
    <row r="2199" spans="8:16" x14ac:dyDescent="0.25">
      <c r="H2199" s="12"/>
      <c r="I2199" s="12"/>
      <c r="J2199" s="12"/>
      <c r="K2199" s="12"/>
      <c r="L2199" s="12"/>
      <c r="M2199" s="11"/>
      <c r="N2199" s="11"/>
      <c r="O2199" s="11"/>
      <c r="P2199" s="11"/>
    </row>
    <row r="2200" spans="8:16" x14ac:dyDescent="0.25">
      <c r="H2200" s="12"/>
      <c r="I2200" s="12"/>
      <c r="J2200" s="12"/>
      <c r="K2200" s="12"/>
      <c r="L2200" s="12"/>
      <c r="M2200" s="11"/>
      <c r="N2200" s="11"/>
      <c r="O2200" s="11"/>
      <c r="P2200" s="11"/>
    </row>
    <row r="2201" spans="8:16" x14ac:dyDescent="0.25">
      <c r="H2201" s="12"/>
      <c r="I2201" s="12"/>
      <c r="J2201" s="12"/>
      <c r="K2201" s="12"/>
      <c r="L2201" s="12"/>
      <c r="M2201" s="11"/>
      <c r="N2201" s="11"/>
      <c r="O2201" s="11"/>
      <c r="P2201" s="11"/>
    </row>
    <row r="2202" spans="8:16" x14ac:dyDescent="0.25">
      <c r="H2202" s="12"/>
      <c r="I2202" s="12"/>
      <c r="J2202" s="12"/>
      <c r="K2202" s="12"/>
      <c r="L2202" s="12"/>
      <c r="M2202" s="11"/>
      <c r="N2202" s="11"/>
      <c r="O2202" s="11"/>
      <c r="P2202" s="11"/>
    </row>
    <row r="2203" spans="8:16" x14ac:dyDescent="0.25">
      <c r="H2203" s="12"/>
      <c r="I2203" s="12"/>
      <c r="J2203" s="12"/>
      <c r="K2203" s="12"/>
      <c r="L2203" s="12"/>
      <c r="M2203" s="11"/>
      <c r="N2203" s="11"/>
      <c r="O2203" s="11"/>
      <c r="P2203" s="11"/>
    </row>
    <row r="2204" spans="8:16" x14ac:dyDescent="0.25">
      <c r="H2204" s="12"/>
      <c r="I2204" s="12"/>
      <c r="J2204" s="12"/>
      <c r="K2204" s="12"/>
      <c r="L2204" s="12"/>
      <c r="M2204" s="11"/>
      <c r="N2204" s="11"/>
      <c r="O2204" s="11"/>
      <c r="P2204" s="11"/>
    </row>
    <row r="2205" spans="8:16" x14ac:dyDescent="0.25">
      <c r="H2205" s="12"/>
      <c r="I2205" s="12"/>
      <c r="J2205" s="12"/>
      <c r="K2205" s="12"/>
      <c r="L2205" s="12"/>
      <c r="M2205" s="11"/>
      <c r="N2205" s="11"/>
      <c r="O2205" s="11"/>
      <c r="P2205" s="11"/>
    </row>
    <row r="2206" spans="8:16" x14ac:dyDescent="0.25">
      <c r="H2206" s="12"/>
      <c r="I2206" s="12"/>
      <c r="J2206" s="12"/>
      <c r="K2206" s="12"/>
      <c r="L2206" s="12"/>
      <c r="M2206" s="11"/>
      <c r="N2206" s="11"/>
      <c r="O2206" s="11"/>
      <c r="P2206" s="11"/>
    </row>
    <row r="2207" spans="8:16" x14ac:dyDescent="0.25">
      <c r="H2207" s="12"/>
      <c r="I2207" s="12"/>
      <c r="J2207" s="12"/>
      <c r="K2207" s="12"/>
      <c r="L2207" s="12"/>
      <c r="M2207" s="11"/>
      <c r="N2207" s="11"/>
      <c r="O2207" s="11"/>
      <c r="P2207" s="11"/>
    </row>
    <row r="2208" spans="8:16" x14ac:dyDescent="0.25">
      <c r="H2208" s="12"/>
      <c r="I2208" s="12"/>
      <c r="J2208" s="12"/>
      <c r="K2208" s="12"/>
      <c r="L2208" s="12"/>
      <c r="M2208" s="11"/>
      <c r="N2208" s="11"/>
      <c r="O2208" s="11"/>
      <c r="P2208" s="11"/>
    </row>
    <row r="2209" spans="8:16" x14ac:dyDescent="0.25">
      <c r="H2209" s="12"/>
      <c r="I2209" s="12"/>
      <c r="J2209" s="12"/>
      <c r="K2209" s="12"/>
      <c r="L2209" s="12"/>
      <c r="M2209" s="11"/>
      <c r="N2209" s="11"/>
      <c r="O2209" s="11"/>
      <c r="P2209" s="11"/>
    </row>
    <row r="2210" spans="8:16" x14ac:dyDescent="0.25">
      <c r="H2210" s="12"/>
      <c r="I2210" s="12"/>
      <c r="J2210" s="12"/>
      <c r="K2210" s="12"/>
      <c r="L2210" s="12"/>
      <c r="M2210" s="11"/>
      <c r="N2210" s="11"/>
      <c r="O2210" s="11"/>
      <c r="P2210" s="11"/>
    </row>
    <row r="2211" spans="8:16" x14ac:dyDescent="0.25">
      <c r="H2211" s="12"/>
      <c r="I2211" s="12"/>
      <c r="J2211" s="12"/>
      <c r="K2211" s="12"/>
      <c r="L2211" s="12"/>
      <c r="M2211" s="11"/>
      <c r="N2211" s="11"/>
      <c r="O2211" s="11"/>
      <c r="P2211" s="11"/>
    </row>
    <row r="2212" spans="8:16" x14ac:dyDescent="0.25">
      <c r="H2212" s="12"/>
      <c r="I2212" s="12"/>
      <c r="J2212" s="12"/>
      <c r="K2212" s="12"/>
      <c r="L2212" s="12"/>
      <c r="M2212" s="11"/>
      <c r="N2212" s="11"/>
      <c r="O2212" s="11"/>
      <c r="P2212" s="11"/>
    </row>
    <row r="2213" spans="8:16" x14ac:dyDescent="0.25">
      <c r="H2213" s="12"/>
      <c r="I2213" s="12"/>
      <c r="J2213" s="12"/>
      <c r="K2213" s="12"/>
      <c r="L2213" s="12"/>
      <c r="M2213" s="11"/>
      <c r="N2213" s="11"/>
      <c r="O2213" s="11"/>
      <c r="P2213" s="11"/>
    </row>
    <row r="2214" spans="8:16" x14ac:dyDescent="0.25">
      <c r="H2214" s="12"/>
      <c r="I2214" s="12"/>
      <c r="J2214" s="12"/>
      <c r="K2214" s="12"/>
      <c r="L2214" s="12"/>
      <c r="M2214" s="11"/>
      <c r="N2214" s="11"/>
      <c r="O2214" s="11"/>
      <c r="P2214" s="11"/>
    </row>
    <row r="2215" spans="8:16" x14ac:dyDescent="0.25">
      <c r="H2215" s="12"/>
      <c r="I2215" s="12"/>
      <c r="J2215" s="12"/>
      <c r="K2215" s="12"/>
      <c r="L2215" s="12"/>
      <c r="M2215" s="11"/>
      <c r="N2215" s="11"/>
      <c r="O2215" s="11"/>
      <c r="P2215" s="11"/>
    </row>
    <row r="2216" spans="8:16" x14ac:dyDescent="0.25">
      <c r="H2216" s="12"/>
      <c r="I2216" s="12"/>
      <c r="J2216" s="12"/>
      <c r="K2216" s="12"/>
      <c r="L2216" s="12"/>
      <c r="M2216" s="11"/>
      <c r="N2216" s="11"/>
      <c r="O2216" s="11"/>
      <c r="P2216" s="11"/>
    </row>
    <row r="2217" spans="8:16" x14ac:dyDescent="0.25">
      <c r="H2217" s="12"/>
      <c r="I2217" s="12"/>
      <c r="J2217" s="12"/>
      <c r="K2217" s="12"/>
      <c r="L2217" s="12"/>
      <c r="M2217" s="11"/>
      <c r="N2217" s="11"/>
      <c r="O2217" s="11"/>
      <c r="P2217" s="11"/>
    </row>
    <row r="2218" spans="8:16" x14ac:dyDescent="0.25">
      <c r="H2218" s="12"/>
      <c r="I2218" s="12"/>
      <c r="J2218" s="12"/>
      <c r="K2218" s="12"/>
      <c r="L2218" s="12"/>
      <c r="M2218" s="11"/>
      <c r="N2218" s="11"/>
      <c r="O2218" s="11"/>
      <c r="P2218" s="11"/>
    </row>
    <row r="2219" spans="8:16" x14ac:dyDescent="0.25">
      <c r="H2219" s="12"/>
      <c r="I2219" s="12"/>
      <c r="J2219" s="12"/>
      <c r="K2219" s="12"/>
      <c r="L2219" s="12"/>
      <c r="M2219" s="11"/>
      <c r="N2219" s="11"/>
      <c r="O2219" s="11"/>
      <c r="P2219" s="11"/>
    </row>
    <row r="2220" spans="8:16" x14ac:dyDescent="0.25">
      <c r="H2220" s="12"/>
      <c r="I2220" s="12"/>
      <c r="J2220" s="12"/>
      <c r="K2220" s="12"/>
      <c r="L2220" s="12"/>
      <c r="M2220" s="11"/>
      <c r="N2220" s="11"/>
      <c r="O2220" s="11"/>
      <c r="P2220" s="11"/>
    </row>
    <row r="2221" spans="8:16" x14ac:dyDescent="0.25">
      <c r="H2221" s="12"/>
      <c r="I2221" s="12"/>
      <c r="J2221" s="12"/>
      <c r="K2221" s="12"/>
      <c r="L2221" s="12"/>
      <c r="M2221" s="11"/>
      <c r="N2221" s="11"/>
      <c r="O2221" s="11"/>
      <c r="P2221" s="11"/>
    </row>
    <row r="2222" spans="8:16" x14ac:dyDescent="0.25">
      <c r="H2222" s="12"/>
      <c r="I2222" s="12"/>
      <c r="J2222" s="12"/>
      <c r="K2222" s="12"/>
      <c r="L2222" s="12"/>
      <c r="M2222" s="11"/>
      <c r="N2222" s="11"/>
      <c r="O2222" s="11"/>
      <c r="P2222" s="11"/>
    </row>
    <row r="2223" spans="8:16" x14ac:dyDescent="0.25">
      <c r="H2223" s="12"/>
      <c r="I2223" s="12"/>
      <c r="J2223" s="12"/>
      <c r="K2223" s="12"/>
      <c r="L2223" s="12"/>
      <c r="M2223" s="11"/>
      <c r="N2223" s="11"/>
      <c r="O2223" s="11"/>
      <c r="P2223" s="11"/>
    </row>
    <row r="2224" spans="8:16" x14ac:dyDescent="0.25">
      <c r="H2224" s="12"/>
      <c r="I2224" s="12"/>
      <c r="J2224" s="12"/>
      <c r="K2224" s="12"/>
      <c r="L2224" s="12"/>
      <c r="M2224" s="11"/>
      <c r="N2224" s="11"/>
      <c r="O2224" s="11"/>
      <c r="P2224" s="11"/>
    </row>
    <row r="2225" spans="8:16" x14ac:dyDescent="0.25">
      <c r="H2225" s="12"/>
      <c r="I2225" s="12"/>
      <c r="J2225" s="12"/>
      <c r="K2225" s="12"/>
      <c r="L2225" s="12"/>
      <c r="M2225" s="11"/>
      <c r="N2225" s="11"/>
      <c r="O2225" s="11"/>
      <c r="P2225" s="11"/>
    </row>
    <row r="2226" spans="8:16" x14ac:dyDescent="0.25">
      <c r="H2226" s="12"/>
      <c r="I2226" s="12"/>
      <c r="J2226" s="12"/>
      <c r="K2226" s="12"/>
      <c r="L2226" s="12"/>
      <c r="M2226" s="11"/>
      <c r="N2226" s="11"/>
      <c r="O2226" s="11"/>
      <c r="P2226" s="11"/>
    </row>
    <row r="2227" spans="8:16" x14ac:dyDescent="0.25">
      <c r="H2227" s="12"/>
      <c r="I2227" s="12"/>
      <c r="J2227" s="12"/>
      <c r="K2227" s="12"/>
      <c r="L2227" s="12"/>
      <c r="M2227" s="11"/>
      <c r="N2227" s="11"/>
      <c r="O2227" s="11"/>
      <c r="P2227" s="11"/>
    </row>
    <row r="2228" spans="8:16" x14ac:dyDescent="0.25">
      <c r="H2228" s="12"/>
      <c r="I2228" s="12"/>
      <c r="J2228" s="12"/>
      <c r="K2228" s="12"/>
      <c r="L2228" s="12"/>
      <c r="M2228" s="11"/>
      <c r="N2228" s="11"/>
      <c r="O2228" s="11"/>
      <c r="P2228" s="11"/>
    </row>
    <row r="2229" spans="8:16" x14ac:dyDescent="0.25">
      <c r="H2229" s="12"/>
      <c r="I2229" s="12"/>
      <c r="J2229" s="12"/>
      <c r="K2229" s="12"/>
      <c r="L2229" s="12"/>
      <c r="M2229" s="11"/>
      <c r="N2229" s="11"/>
      <c r="O2229" s="11"/>
      <c r="P2229" s="11"/>
    </row>
    <row r="2230" spans="8:16" x14ac:dyDescent="0.25">
      <c r="H2230" s="12"/>
      <c r="I2230" s="12"/>
      <c r="J2230" s="12"/>
      <c r="K2230" s="12"/>
      <c r="L2230" s="12"/>
      <c r="M2230" s="11"/>
      <c r="N2230" s="11"/>
      <c r="O2230" s="11"/>
      <c r="P2230" s="11"/>
    </row>
    <row r="2231" spans="8:16" x14ac:dyDescent="0.25">
      <c r="H2231" s="12"/>
      <c r="I2231" s="12"/>
      <c r="J2231" s="12"/>
      <c r="K2231" s="12"/>
      <c r="L2231" s="12"/>
      <c r="M2231" s="11"/>
      <c r="N2231" s="11"/>
      <c r="O2231" s="11"/>
      <c r="P2231" s="11"/>
    </row>
    <row r="2232" spans="8:16" x14ac:dyDescent="0.25">
      <c r="H2232" s="12"/>
      <c r="I2232" s="12"/>
      <c r="J2232" s="12"/>
      <c r="K2232" s="12"/>
      <c r="L2232" s="12"/>
      <c r="M2232" s="11"/>
      <c r="N2232" s="11"/>
      <c r="O2232" s="11"/>
      <c r="P2232" s="11"/>
    </row>
    <row r="2233" spans="8:16" x14ac:dyDescent="0.25">
      <c r="H2233" s="12"/>
      <c r="I2233" s="12"/>
      <c r="J2233" s="12"/>
      <c r="K2233" s="12"/>
      <c r="L2233" s="12"/>
      <c r="M2233" s="11"/>
      <c r="N2233" s="11"/>
      <c r="O2233" s="11"/>
      <c r="P2233" s="11"/>
    </row>
    <row r="2234" spans="8:16" x14ac:dyDescent="0.25">
      <c r="H2234" s="12"/>
      <c r="I2234" s="12"/>
      <c r="J2234" s="12"/>
      <c r="K2234" s="12"/>
      <c r="L2234" s="12"/>
      <c r="M2234" s="11"/>
      <c r="N2234" s="11"/>
      <c r="O2234" s="11"/>
      <c r="P2234" s="11"/>
    </row>
    <row r="2235" spans="8:16" x14ac:dyDescent="0.25">
      <c r="H2235" s="12"/>
      <c r="I2235" s="12"/>
      <c r="J2235" s="12"/>
      <c r="K2235" s="12"/>
      <c r="L2235" s="12"/>
      <c r="M2235" s="11"/>
      <c r="N2235" s="11"/>
      <c r="O2235" s="11"/>
      <c r="P2235" s="11"/>
    </row>
    <row r="2236" spans="8:16" x14ac:dyDescent="0.25">
      <c r="H2236" s="12"/>
      <c r="I2236" s="12"/>
      <c r="J2236" s="12"/>
      <c r="K2236" s="12"/>
      <c r="L2236" s="12"/>
      <c r="M2236" s="11"/>
      <c r="N2236" s="11"/>
      <c r="O2236" s="11"/>
      <c r="P2236" s="11"/>
    </row>
    <row r="2237" spans="8:16" x14ac:dyDescent="0.25">
      <c r="H2237" s="12"/>
      <c r="I2237" s="12"/>
      <c r="J2237" s="12"/>
      <c r="K2237" s="12"/>
      <c r="L2237" s="12"/>
      <c r="M2237" s="11"/>
      <c r="N2237" s="11"/>
      <c r="O2237" s="11"/>
      <c r="P2237" s="11"/>
    </row>
    <row r="2238" spans="8:16" x14ac:dyDescent="0.25">
      <c r="H2238" s="12"/>
      <c r="I2238" s="12"/>
      <c r="J2238" s="12"/>
      <c r="K2238" s="12"/>
      <c r="L2238" s="12"/>
      <c r="M2238" s="11"/>
      <c r="N2238" s="11"/>
      <c r="O2238" s="11"/>
      <c r="P2238" s="11"/>
    </row>
    <row r="2239" spans="8:16" x14ac:dyDescent="0.25">
      <c r="H2239" s="12"/>
      <c r="I2239" s="12"/>
      <c r="J2239" s="12"/>
      <c r="K2239" s="12"/>
      <c r="L2239" s="12"/>
      <c r="M2239" s="11"/>
      <c r="N2239" s="11"/>
      <c r="O2239" s="11"/>
      <c r="P2239" s="11"/>
    </row>
    <row r="2240" spans="8:16" x14ac:dyDescent="0.25">
      <c r="H2240" s="12"/>
      <c r="I2240" s="12"/>
      <c r="J2240" s="12"/>
      <c r="K2240" s="12"/>
      <c r="L2240" s="12"/>
      <c r="M2240" s="11"/>
      <c r="N2240" s="11"/>
      <c r="O2240" s="11"/>
      <c r="P2240" s="11"/>
    </row>
    <row r="2241" spans="8:16" x14ac:dyDescent="0.25">
      <c r="H2241" s="12"/>
      <c r="I2241" s="12"/>
      <c r="J2241" s="12"/>
      <c r="K2241" s="12"/>
      <c r="L2241" s="12"/>
      <c r="M2241" s="11"/>
      <c r="N2241" s="11"/>
      <c r="O2241" s="11"/>
      <c r="P2241" s="11"/>
    </row>
    <row r="2242" spans="8:16" x14ac:dyDescent="0.25">
      <c r="H2242" s="12"/>
      <c r="I2242" s="12"/>
      <c r="J2242" s="12"/>
      <c r="K2242" s="12"/>
      <c r="L2242" s="12"/>
      <c r="M2242" s="11"/>
      <c r="N2242" s="11"/>
      <c r="O2242" s="11"/>
      <c r="P2242" s="11"/>
    </row>
    <row r="2243" spans="8:16" x14ac:dyDescent="0.25">
      <c r="H2243" s="12"/>
      <c r="I2243" s="12"/>
      <c r="J2243" s="12"/>
      <c r="K2243" s="12"/>
      <c r="L2243" s="12"/>
      <c r="M2243" s="11"/>
      <c r="N2243" s="11"/>
      <c r="O2243" s="11"/>
      <c r="P2243" s="11"/>
    </row>
    <row r="2244" spans="8:16" x14ac:dyDescent="0.25">
      <c r="H2244" s="12"/>
      <c r="I2244" s="12"/>
      <c r="J2244" s="12"/>
      <c r="K2244" s="12"/>
      <c r="L2244" s="12"/>
      <c r="M2244" s="11"/>
      <c r="N2244" s="11"/>
      <c r="O2244" s="11"/>
      <c r="P2244" s="11"/>
    </row>
    <row r="2245" spans="8:16" x14ac:dyDescent="0.25">
      <c r="H2245" s="12"/>
      <c r="I2245" s="12"/>
      <c r="J2245" s="12"/>
      <c r="K2245" s="12"/>
      <c r="L2245" s="12"/>
      <c r="M2245" s="11"/>
      <c r="N2245" s="11"/>
      <c r="O2245" s="11"/>
      <c r="P2245" s="11"/>
    </row>
    <row r="2246" spans="8:16" x14ac:dyDescent="0.25">
      <c r="H2246" s="12"/>
      <c r="I2246" s="12"/>
      <c r="J2246" s="12"/>
      <c r="K2246" s="12"/>
      <c r="L2246" s="12"/>
      <c r="M2246" s="11"/>
      <c r="N2246" s="11"/>
      <c r="O2246" s="11"/>
      <c r="P2246" s="11"/>
    </row>
    <row r="2247" spans="8:16" x14ac:dyDescent="0.25">
      <c r="H2247" s="12"/>
      <c r="I2247" s="12"/>
      <c r="J2247" s="12"/>
      <c r="K2247" s="12"/>
      <c r="L2247" s="12"/>
      <c r="M2247" s="11"/>
      <c r="N2247" s="11"/>
      <c r="O2247" s="11"/>
      <c r="P2247" s="11"/>
    </row>
    <row r="2248" spans="8:16" x14ac:dyDescent="0.25">
      <c r="H2248" s="12"/>
      <c r="I2248" s="12"/>
      <c r="J2248" s="12"/>
      <c r="K2248" s="12"/>
      <c r="L2248" s="12"/>
      <c r="M2248" s="11"/>
      <c r="N2248" s="11"/>
      <c r="O2248" s="11"/>
      <c r="P2248" s="11"/>
    </row>
    <row r="2249" spans="8:16" x14ac:dyDescent="0.25">
      <c r="H2249" s="12"/>
      <c r="I2249" s="12"/>
      <c r="J2249" s="12"/>
      <c r="K2249" s="12"/>
      <c r="L2249" s="12"/>
      <c r="M2249" s="11"/>
      <c r="N2249" s="11"/>
      <c r="O2249" s="11"/>
      <c r="P2249" s="11"/>
    </row>
    <row r="2250" spans="8:16" x14ac:dyDescent="0.25">
      <c r="H2250" s="12"/>
      <c r="I2250" s="12"/>
      <c r="J2250" s="12"/>
      <c r="K2250" s="12"/>
      <c r="L2250" s="12"/>
      <c r="M2250" s="11"/>
      <c r="N2250" s="11"/>
      <c r="O2250" s="11"/>
      <c r="P2250" s="11"/>
    </row>
    <row r="2251" spans="8:16" x14ac:dyDescent="0.25">
      <c r="H2251" s="12"/>
      <c r="I2251" s="12"/>
      <c r="J2251" s="12"/>
      <c r="K2251" s="12"/>
      <c r="L2251" s="12"/>
      <c r="M2251" s="11"/>
      <c r="N2251" s="11"/>
      <c r="O2251" s="11"/>
      <c r="P2251" s="11"/>
    </row>
    <row r="2252" spans="8:16" x14ac:dyDescent="0.25">
      <c r="H2252" s="12"/>
      <c r="I2252" s="12"/>
      <c r="J2252" s="12"/>
      <c r="K2252" s="12"/>
      <c r="L2252" s="12"/>
      <c r="M2252" s="11"/>
      <c r="N2252" s="11"/>
      <c r="O2252" s="11"/>
      <c r="P2252" s="11"/>
    </row>
    <row r="2253" spans="8:16" x14ac:dyDescent="0.25">
      <c r="H2253" s="12"/>
      <c r="I2253" s="12"/>
      <c r="J2253" s="12"/>
      <c r="K2253" s="12"/>
      <c r="L2253" s="12"/>
      <c r="M2253" s="11"/>
      <c r="N2253" s="11"/>
      <c r="O2253" s="11"/>
      <c r="P2253" s="11"/>
    </row>
    <row r="2254" spans="8:16" x14ac:dyDescent="0.25">
      <c r="H2254" s="12"/>
      <c r="I2254" s="12"/>
      <c r="J2254" s="12"/>
      <c r="K2254" s="12"/>
      <c r="L2254" s="12"/>
      <c r="M2254" s="11"/>
      <c r="N2254" s="11"/>
      <c r="O2254" s="11"/>
      <c r="P2254" s="11"/>
    </row>
    <row r="2255" spans="8:16" x14ac:dyDescent="0.25">
      <c r="H2255" s="12"/>
      <c r="I2255" s="12"/>
      <c r="J2255" s="12"/>
      <c r="K2255" s="12"/>
      <c r="L2255" s="12"/>
      <c r="M2255" s="11"/>
      <c r="N2255" s="11"/>
      <c r="O2255" s="11"/>
      <c r="P2255" s="11"/>
    </row>
    <row r="2256" spans="8:16" x14ac:dyDescent="0.25">
      <c r="H2256" s="12"/>
      <c r="I2256" s="12"/>
      <c r="J2256" s="12"/>
      <c r="K2256" s="12"/>
      <c r="L2256" s="12"/>
      <c r="M2256" s="11"/>
      <c r="N2256" s="11"/>
      <c r="O2256" s="11"/>
      <c r="P2256" s="11"/>
    </row>
    <row r="2257" spans="8:16" x14ac:dyDescent="0.25">
      <c r="H2257" s="12"/>
      <c r="I2257" s="12"/>
      <c r="J2257" s="12"/>
      <c r="K2257" s="12"/>
      <c r="L2257" s="12"/>
      <c r="M2257" s="11"/>
      <c r="N2257" s="11"/>
      <c r="O2257" s="11"/>
      <c r="P2257" s="11"/>
    </row>
    <row r="2258" spans="8:16" x14ac:dyDescent="0.25">
      <c r="H2258" s="12"/>
      <c r="I2258" s="12"/>
      <c r="J2258" s="12"/>
      <c r="K2258" s="12"/>
      <c r="L2258" s="12"/>
      <c r="M2258" s="11"/>
      <c r="N2258" s="11"/>
      <c r="O2258" s="11"/>
      <c r="P2258" s="11"/>
    </row>
    <row r="2259" spans="8:16" x14ac:dyDescent="0.25">
      <c r="H2259" s="12"/>
      <c r="I2259" s="12"/>
      <c r="J2259" s="12"/>
      <c r="K2259" s="12"/>
      <c r="L2259" s="12"/>
      <c r="M2259" s="11"/>
      <c r="N2259" s="11"/>
      <c r="O2259" s="11"/>
      <c r="P2259" s="11"/>
    </row>
    <row r="2260" spans="8:16" x14ac:dyDescent="0.25">
      <c r="H2260" s="12"/>
      <c r="I2260" s="12"/>
      <c r="J2260" s="12"/>
      <c r="K2260" s="12"/>
      <c r="L2260" s="12"/>
      <c r="M2260" s="11"/>
      <c r="N2260" s="11"/>
      <c r="O2260" s="11"/>
      <c r="P2260" s="11"/>
    </row>
    <row r="2261" spans="8:16" x14ac:dyDescent="0.25">
      <c r="H2261" s="12"/>
      <c r="I2261" s="12"/>
      <c r="J2261" s="12"/>
      <c r="K2261" s="12"/>
      <c r="L2261" s="12"/>
      <c r="M2261" s="11"/>
      <c r="N2261" s="11"/>
      <c r="O2261" s="11"/>
      <c r="P2261" s="11"/>
    </row>
    <row r="2262" spans="8:16" x14ac:dyDescent="0.25">
      <c r="H2262" s="12"/>
      <c r="I2262" s="12"/>
      <c r="J2262" s="12"/>
      <c r="K2262" s="12"/>
      <c r="L2262" s="12"/>
      <c r="M2262" s="11"/>
      <c r="N2262" s="11"/>
      <c r="O2262" s="11"/>
      <c r="P2262" s="11"/>
    </row>
    <row r="2263" spans="8:16" x14ac:dyDescent="0.25">
      <c r="H2263" s="12"/>
      <c r="I2263" s="12"/>
      <c r="J2263" s="12"/>
      <c r="K2263" s="12"/>
      <c r="L2263" s="12"/>
      <c r="M2263" s="11"/>
      <c r="N2263" s="11"/>
      <c r="O2263" s="11"/>
      <c r="P2263" s="11"/>
    </row>
    <row r="2264" spans="8:16" x14ac:dyDescent="0.25">
      <c r="H2264" s="12"/>
      <c r="I2264" s="12"/>
      <c r="J2264" s="12"/>
      <c r="K2264" s="12"/>
      <c r="L2264" s="12"/>
      <c r="M2264" s="11"/>
      <c r="N2264" s="11"/>
      <c r="O2264" s="11"/>
      <c r="P2264" s="11"/>
    </row>
    <row r="2265" spans="8:16" x14ac:dyDescent="0.25">
      <c r="H2265" s="12"/>
      <c r="I2265" s="12"/>
      <c r="J2265" s="12"/>
      <c r="K2265" s="12"/>
      <c r="L2265" s="12"/>
      <c r="M2265" s="11"/>
      <c r="N2265" s="11"/>
      <c r="O2265" s="11"/>
      <c r="P2265" s="11"/>
    </row>
    <row r="2266" spans="8:16" x14ac:dyDescent="0.25">
      <c r="H2266" s="12"/>
      <c r="I2266" s="12"/>
      <c r="J2266" s="12"/>
      <c r="K2266" s="12"/>
      <c r="L2266" s="12"/>
      <c r="M2266" s="11"/>
      <c r="N2266" s="11"/>
      <c r="O2266" s="11"/>
      <c r="P2266" s="11"/>
    </row>
    <row r="2267" spans="8:16" x14ac:dyDescent="0.25">
      <c r="H2267" s="12"/>
      <c r="I2267" s="12"/>
      <c r="J2267" s="12"/>
      <c r="K2267" s="12"/>
      <c r="L2267" s="12"/>
      <c r="M2267" s="11"/>
      <c r="N2267" s="11"/>
      <c r="O2267" s="11"/>
      <c r="P2267" s="11"/>
    </row>
    <row r="2268" spans="8:16" x14ac:dyDescent="0.25">
      <c r="H2268" s="12"/>
      <c r="I2268" s="12"/>
      <c r="J2268" s="12"/>
      <c r="K2268" s="12"/>
      <c r="L2268" s="12"/>
      <c r="M2268" s="11"/>
      <c r="N2268" s="11"/>
      <c r="O2268" s="11"/>
      <c r="P2268" s="11"/>
    </row>
    <row r="2269" spans="8:16" x14ac:dyDescent="0.25">
      <c r="H2269" s="12"/>
      <c r="I2269" s="12"/>
      <c r="J2269" s="12"/>
      <c r="K2269" s="12"/>
      <c r="L2269" s="12"/>
      <c r="M2269" s="11"/>
      <c r="N2269" s="11"/>
      <c r="O2269" s="11"/>
      <c r="P2269" s="11"/>
    </row>
    <row r="2270" spans="8:16" x14ac:dyDescent="0.25">
      <c r="H2270" s="12"/>
      <c r="I2270" s="12"/>
      <c r="J2270" s="12"/>
      <c r="K2270" s="12"/>
      <c r="L2270" s="12"/>
      <c r="M2270" s="11"/>
      <c r="N2270" s="11"/>
      <c r="O2270" s="11"/>
      <c r="P2270" s="11"/>
    </row>
    <row r="2271" spans="8:16" x14ac:dyDescent="0.25">
      <c r="H2271" s="12"/>
      <c r="I2271" s="12"/>
      <c r="J2271" s="12"/>
      <c r="K2271" s="12"/>
      <c r="L2271" s="12"/>
      <c r="M2271" s="11"/>
      <c r="N2271" s="11"/>
      <c r="O2271" s="11"/>
      <c r="P2271" s="11"/>
    </row>
    <row r="2272" spans="8:16" x14ac:dyDescent="0.25">
      <c r="H2272" s="12"/>
      <c r="I2272" s="12"/>
      <c r="J2272" s="12"/>
      <c r="K2272" s="12"/>
      <c r="L2272" s="12"/>
      <c r="M2272" s="11"/>
      <c r="N2272" s="11"/>
      <c r="O2272" s="11"/>
      <c r="P2272" s="11"/>
    </row>
    <row r="2273" spans="8:16" x14ac:dyDescent="0.25">
      <c r="H2273" s="12"/>
      <c r="I2273" s="12"/>
      <c r="J2273" s="12"/>
      <c r="K2273" s="12"/>
      <c r="L2273" s="12"/>
      <c r="M2273" s="11"/>
      <c r="N2273" s="11"/>
      <c r="O2273" s="11"/>
      <c r="P2273" s="11"/>
    </row>
    <row r="2274" spans="8:16" x14ac:dyDescent="0.25">
      <c r="H2274" s="12"/>
      <c r="I2274" s="12"/>
      <c r="J2274" s="12"/>
      <c r="K2274" s="12"/>
      <c r="L2274" s="12"/>
      <c r="M2274" s="11"/>
      <c r="N2274" s="11"/>
      <c r="O2274" s="11"/>
      <c r="P2274" s="11"/>
    </row>
    <row r="2275" spans="8:16" x14ac:dyDescent="0.25">
      <c r="H2275" s="12"/>
      <c r="I2275" s="12"/>
      <c r="J2275" s="12"/>
      <c r="K2275" s="12"/>
      <c r="L2275" s="12"/>
      <c r="M2275" s="11"/>
      <c r="N2275" s="11"/>
      <c r="O2275" s="11"/>
      <c r="P2275" s="11"/>
    </row>
    <row r="2276" spans="8:16" x14ac:dyDescent="0.25">
      <c r="H2276" s="12"/>
      <c r="I2276" s="12"/>
      <c r="J2276" s="12"/>
      <c r="K2276" s="12"/>
      <c r="L2276" s="12"/>
      <c r="M2276" s="11"/>
      <c r="N2276" s="11"/>
      <c r="O2276" s="11"/>
      <c r="P2276" s="11"/>
    </row>
    <row r="2277" spans="8:16" x14ac:dyDescent="0.25">
      <c r="H2277" s="12"/>
      <c r="I2277" s="12"/>
      <c r="J2277" s="12"/>
      <c r="K2277" s="12"/>
      <c r="L2277" s="12"/>
      <c r="M2277" s="11"/>
      <c r="N2277" s="11"/>
      <c r="O2277" s="11"/>
      <c r="P2277" s="11"/>
    </row>
    <row r="2278" spans="8:16" x14ac:dyDescent="0.25">
      <c r="H2278" s="12"/>
      <c r="I2278" s="12"/>
      <c r="J2278" s="12"/>
      <c r="K2278" s="12"/>
      <c r="L2278" s="12"/>
      <c r="M2278" s="11"/>
      <c r="N2278" s="11"/>
      <c r="O2278" s="11"/>
      <c r="P2278" s="11"/>
    </row>
    <row r="2279" spans="8:16" x14ac:dyDescent="0.25">
      <c r="H2279" s="12"/>
      <c r="I2279" s="12"/>
      <c r="J2279" s="12"/>
      <c r="K2279" s="12"/>
      <c r="L2279" s="12"/>
      <c r="M2279" s="11"/>
      <c r="N2279" s="11"/>
      <c r="O2279" s="11"/>
      <c r="P2279" s="11"/>
    </row>
    <row r="2280" spans="8:16" x14ac:dyDescent="0.25">
      <c r="H2280" s="12"/>
      <c r="I2280" s="12"/>
      <c r="J2280" s="12"/>
      <c r="K2280" s="12"/>
      <c r="L2280" s="12"/>
      <c r="M2280" s="11"/>
      <c r="N2280" s="11"/>
      <c r="O2280" s="11"/>
      <c r="P2280" s="11"/>
    </row>
    <row r="2281" spans="8:16" x14ac:dyDescent="0.25">
      <c r="H2281" s="12"/>
      <c r="I2281" s="12"/>
      <c r="J2281" s="12"/>
      <c r="K2281" s="12"/>
      <c r="L2281" s="12"/>
      <c r="M2281" s="11"/>
      <c r="N2281" s="11"/>
      <c r="O2281" s="11"/>
      <c r="P2281" s="11"/>
    </row>
    <row r="2282" spans="8:16" x14ac:dyDescent="0.25">
      <c r="H2282" s="12"/>
      <c r="I2282" s="12"/>
      <c r="J2282" s="12"/>
      <c r="K2282" s="12"/>
      <c r="L2282" s="12"/>
      <c r="M2282" s="11"/>
      <c r="N2282" s="11"/>
      <c r="O2282" s="11"/>
      <c r="P2282" s="11"/>
    </row>
    <row r="2283" spans="8:16" x14ac:dyDescent="0.25">
      <c r="H2283" s="12"/>
      <c r="I2283" s="12"/>
      <c r="J2283" s="12"/>
      <c r="K2283" s="12"/>
      <c r="L2283" s="12"/>
      <c r="M2283" s="11"/>
      <c r="N2283" s="11"/>
      <c r="O2283" s="11"/>
      <c r="P2283" s="11"/>
    </row>
    <row r="2284" spans="8:16" x14ac:dyDescent="0.25">
      <c r="H2284" s="12"/>
      <c r="I2284" s="12"/>
      <c r="J2284" s="12"/>
      <c r="K2284" s="12"/>
      <c r="L2284" s="12"/>
      <c r="M2284" s="11"/>
      <c r="N2284" s="11"/>
      <c r="O2284" s="11"/>
      <c r="P2284" s="11"/>
    </row>
    <row r="2285" spans="8:16" x14ac:dyDescent="0.25">
      <c r="H2285" s="12"/>
      <c r="I2285" s="12"/>
      <c r="J2285" s="12"/>
      <c r="K2285" s="12"/>
      <c r="L2285" s="12"/>
      <c r="M2285" s="11"/>
      <c r="N2285" s="11"/>
      <c r="O2285" s="11"/>
      <c r="P2285" s="11"/>
    </row>
    <row r="2286" spans="8:16" x14ac:dyDescent="0.25">
      <c r="H2286" s="12"/>
      <c r="I2286" s="12"/>
      <c r="J2286" s="12"/>
      <c r="K2286" s="12"/>
      <c r="L2286" s="12"/>
      <c r="M2286" s="11"/>
      <c r="N2286" s="11"/>
      <c r="O2286" s="11"/>
      <c r="P2286" s="11"/>
    </row>
    <row r="2287" spans="8:16" x14ac:dyDescent="0.25">
      <c r="H2287" s="12"/>
      <c r="I2287" s="12"/>
      <c r="J2287" s="12"/>
      <c r="K2287" s="12"/>
      <c r="L2287" s="12"/>
      <c r="M2287" s="11"/>
      <c r="N2287" s="11"/>
      <c r="O2287" s="11"/>
      <c r="P2287" s="11"/>
    </row>
    <row r="2288" spans="8:16" x14ac:dyDescent="0.25">
      <c r="H2288" s="12"/>
      <c r="I2288" s="12"/>
      <c r="J2288" s="12"/>
      <c r="K2288" s="12"/>
      <c r="L2288" s="12"/>
      <c r="M2288" s="11"/>
      <c r="N2288" s="11"/>
      <c r="O2288" s="11"/>
      <c r="P2288" s="11"/>
    </row>
    <row r="2289" spans="8:16" x14ac:dyDescent="0.25">
      <c r="H2289" s="12"/>
      <c r="I2289" s="12"/>
      <c r="J2289" s="12"/>
      <c r="K2289" s="12"/>
      <c r="L2289" s="12"/>
      <c r="M2289" s="11"/>
      <c r="N2289" s="11"/>
      <c r="O2289" s="11"/>
      <c r="P2289" s="11"/>
    </row>
    <row r="2290" spans="8:16" x14ac:dyDescent="0.25">
      <c r="H2290" s="12"/>
      <c r="I2290" s="12"/>
      <c r="J2290" s="12"/>
      <c r="K2290" s="12"/>
      <c r="L2290" s="12"/>
      <c r="M2290" s="11"/>
      <c r="N2290" s="11"/>
      <c r="O2290" s="11"/>
      <c r="P2290" s="11"/>
    </row>
    <row r="2291" spans="8:16" x14ac:dyDescent="0.25">
      <c r="H2291" s="12"/>
      <c r="I2291" s="12"/>
      <c r="J2291" s="12"/>
      <c r="K2291" s="12"/>
      <c r="L2291" s="12"/>
      <c r="M2291" s="11"/>
      <c r="N2291" s="11"/>
      <c r="O2291" s="11"/>
      <c r="P2291" s="11"/>
    </row>
    <row r="2292" spans="8:16" x14ac:dyDescent="0.25">
      <c r="H2292" s="12"/>
      <c r="I2292" s="12"/>
      <c r="J2292" s="12"/>
      <c r="K2292" s="12"/>
      <c r="L2292" s="12"/>
      <c r="M2292" s="11"/>
      <c r="N2292" s="11"/>
      <c r="O2292" s="11"/>
      <c r="P2292" s="11"/>
    </row>
    <row r="2293" spans="8:16" x14ac:dyDescent="0.25">
      <c r="H2293" s="12"/>
      <c r="I2293" s="12"/>
      <c r="J2293" s="12"/>
      <c r="K2293" s="12"/>
      <c r="L2293" s="12"/>
      <c r="M2293" s="11"/>
      <c r="N2293" s="11"/>
      <c r="O2293" s="11"/>
      <c r="P2293" s="11"/>
    </row>
    <row r="2294" spans="8:16" x14ac:dyDescent="0.25">
      <c r="H2294" s="12"/>
      <c r="I2294" s="12"/>
      <c r="J2294" s="12"/>
      <c r="K2294" s="12"/>
      <c r="L2294" s="12"/>
      <c r="M2294" s="11"/>
      <c r="N2294" s="11"/>
      <c r="O2294" s="11"/>
      <c r="P2294" s="11"/>
    </row>
    <row r="2295" spans="8:16" x14ac:dyDescent="0.25">
      <c r="H2295" s="12"/>
      <c r="I2295" s="12"/>
      <c r="J2295" s="12"/>
      <c r="K2295" s="12"/>
      <c r="L2295" s="12"/>
      <c r="M2295" s="11"/>
      <c r="N2295" s="11"/>
      <c r="O2295" s="11"/>
      <c r="P2295" s="11"/>
    </row>
    <row r="2296" spans="8:16" x14ac:dyDescent="0.25">
      <c r="H2296" s="12"/>
      <c r="I2296" s="12"/>
      <c r="J2296" s="12"/>
      <c r="K2296" s="12"/>
      <c r="L2296" s="12"/>
      <c r="M2296" s="11"/>
      <c r="N2296" s="11"/>
      <c r="O2296" s="11"/>
      <c r="P2296" s="11"/>
    </row>
    <row r="2297" spans="8:16" x14ac:dyDescent="0.25">
      <c r="H2297" s="12"/>
      <c r="I2297" s="12"/>
      <c r="J2297" s="12"/>
      <c r="K2297" s="12"/>
      <c r="L2297" s="12"/>
      <c r="M2297" s="11"/>
      <c r="N2297" s="11"/>
      <c r="O2297" s="11"/>
      <c r="P2297" s="11"/>
    </row>
    <row r="2298" spans="8:16" x14ac:dyDescent="0.25">
      <c r="H2298" s="12"/>
      <c r="I2298" s="12"/>
      <c r="J2298" s="12"/>
      <c r="K2298" s="12"/>
      <c r="L2298" s="12"/>
      <c r="M2298" s="11"/>
      <c r="N2298" s="11"/>
      <c r="O2298" s="11"/>
      <c r="P2298" s="11"/>
    </row>
    <row r="2299" spans="8:16" x14ac:dyDescent="0.25">
      <c r="H2299" s="12"/>
      <c r="I2299" s="12"/>
      <c r="J2299" s="12"/>
      <c r="K2299" s="12"/>
      <c r="L2299" s="12"/>
      <c r="M2299" s="11"/>
      <c r="N2299" s="11"/>
      <c r="O2299" s="11"/>
      <c r="P2299" s="11"/>
    </row>
    <row r="2300" spans="8:16" x14ac:dyDescent="0.25">
      <c r="H2300" s="12"/>
      <c r="I2300" s="12"/>
      <c r="J2300" s="12"/>
      <c r="K2300" s="12"/>
      <c r="L2300" s="12"/>
      <c r="M2300" s="11"/>
      <c r="N2300" s="11"/>
      <c r="O2300" s="11"/>
      <c r="P2300" s="11"/>
    </row>
    <row r="2301" spans="8:16" x14ac:dyDescent="0.25">
      <c r="H2301" s="12"/>
      <c r="I2301" s="12"/>
      <c r="J2301" s="12"/>
      <c r="K2301" s="12"/>
      <c r="L2301" s="12"/>
      <c r="M2301" s="11"/>
      <c r="N2301" s="11"/>
      <c r="O2301" s="11"/>
      <c r="P2301" s="11"/>
    </row>
    <row r="2302" spans="8:16" x14ac:dyDescent="0.25">
      <c r="H2302" s="12"/>
      <c r="I2302" s="12"/>
      <c r="J2302" s="12"/>
      <c r="K2302" s="12"/>
      <c r="L2302" s="12"/>
      <c r="M2302" s="11"/>
      <c r="N2302" s="11"/>
      <c r="O2302" s="11"/>
      <c r="P2302" s="11"/>
    </row>
    <row r="2303" spans="8:16" x14ac:dyDescent="0.25">
      <c r="H2303" s="12"/>
      <c r="I2303" s="12"/>
      <c r="J2303" s="12"/>
      <c r="K2303" s="12"/>
      <c r="L2303" s="12"/>
      <c r="M2303" s="11"/>
      <c r="N2303" s="11"/>
      <c r="O2303" s="11"/>
      <c r="P2303" s="11"/>
    </row>
    <row r="2304" spans="8:16" x14ac:dyDescent="0.25">
      <c r="H2304" s="12"/>
      <c r="I2304" s="12"/>
      <c r="J2304" s="12"/>
      <c r="K2304" s="12"/>
      <c r="L2304" s="12"/>
      <c r="M2304" s="11"/>
      <c r="N2304" s="11"/>
      <c r="O2304" s="11"/>
      <c r="P2304" s="11"/>
    </row>
    <row r="2305" spans="8:16" x14ac:dyDescent="0.25">
      <c r="H2305" s="12"/>
      <c r="I2305" s="12"/>
      <c r="J2305" s="12"/>
      <c r="K2305" s="12"/>
      <c r="L2305" s="12"/>
      <c r="M2305" s="11"/>
      <c r="N2305" s="11"/>
      <c r="O2305" s="11"/>
      <c r="P2305" s="11"/>
    </row>
    <row r="2306" spans="8:16" x14ac:dyDescent="0.25">
      <c r="H2306" s="12"/>
      <c r="I2306" s="12"/>
      <c r="J2306" s="12"/>
      <c r="K2306" s="12"/>
      <c r="L2306" s="12"/>
      <c r="M2306" s="11"/>
      <c r="N2306" s="11"/>
      <c r="O2306" s="11"/>
      <c r="P2306" s="11"/>
    </row>
    <row r="2307" spans="8:16" x14ac:dyDescent="0.25">
      <c r="H2307" s="12"/>
      <c r="I2307" s="12"/>
      <c r="J2307" s="12"/>
      <c r="K2307" s="12"/>
      <c r="L2307" s="12"/>
      <c r="M2307" s="11"/>
      <c r="N2307" s="11"/>
      <c r="O2307" s="11"/>
      <c r="P2307" s="11"/>
    </row>
    <row r="2308" spans="8:16" x14ac:dyDescent="0.25">
      <c r="H2308" s="12"/>
      <c r="I2308" s="12"/>
      <c r="J2308" s="12"/>
      <c r="K2308" s="12"/>
      <c r="L2308" s="12"/>
      <c r="M2308" s="11"/>
      <c r="N2308" s="11"/>
      <c r="O2308" s="11"/>
      <c r="P2308" s="11"/>
    </row>
    <row r="2309" spans="8:16" x14ac:dyDescent="0.25">
      <c r="H2309" s="12"/>
      <c r="I2309" s="12"/>
      <c r="J2309" s="12"/>
      <c r="K2309" s="12"/>
      <c r="L2309" s="12"/>
      <c r="M2309" s="11"/>
      <c r="N2309" s="11"/>
      <c r="O2309" s="11"/>
      <c r="P2309" s="11"/>
    </row>
    <row r="2310" spans="8:16" x14ac:dyDescent="0.25">
      <c r="H2310" s="12"/>
      <c r="I2310" s="12"/>
      <c r="J2310" s="12"/>
      <c r="K2310" s="12"/>
      <c r="L2310" s="12"/>
      <c r="M2310" s="11"/>
      <c r="N2310" s="11"/>
      <c r="O2310" s="11"/>
      <c r="P2310" s="11"/>
    </row>
    <row r="2311" spans="8:16" x14ac:dyDescent="0.25">
      <c r="H2311" s="12"/>
      <c r="I2311" s="12"/>
      <c r="J2311" s="12"/>
      <c r="K2311" s="12"/>
      <c r="L2311" s="12"/>
      <c r="M2311" s="11"/>
      <c r="N2311" s="11"/>
      <c r="O2311" s="11"/>
      <c r="P2311" s="11"/>
    </row>
    <row r="2312" spans="8:16" x14ac:dyDescent="0.25">
      <c r="H2312" s="12"/>
      <c r="I2312" s="12"/>
      <c r="J2312" s="12"/>
      <c r="K2312" s="12"/>
      <c r="L2312" s="12"/>
      <c r="M2312" s="11"/>
      <c r="N2312" s="11"/>
      <c r="O2312" s="11"/>
      <c r="P2312" s="11"/>
    </row>
    <row r="2313" spans="8:16" x14ac:dyDescent="0.25">
      <c r="H2313" s="12"/>
      <c r="I2313" s="12"/>
      <c r="J2313" s="12"/>
      <c r="K2313" s="12"/>
      <c r="L2313" s="12"/>
      <c r="M2313" s="11"/>
      <c r="N2313" s="11"/>
      <c r="O2313" s="11"/>
      <c r="P2313" s="11"/>
    </row>
    <row r="2314" spans="8:16" x14ac:dyDescent="0.25">
      <c r="H2314" s="12"/>
      <c r="I2314" s="12"/>
      <c r="J2314" s="12"/>
      <c r="K2314" s="12"/>
      <c r="L2314" s="12"/>
      <c r="M2314" s="11"/>
      <c r="N2314" s="11"/>
      <c r="O2314" s="11"/>
      <c r="P2314" s="11"/>
    </row>
    <row r="2315" spans="8:16" x14ac:dyDescent="0.25">
      <c r="H2315" s="12"/>
      <c r="I2315" s="12"/>
      <c r="J2315" s="12"/>
      <c r="K2315" s="12"/>
      <c r="L2315" s="12"/>
      <c r="M2315" s="11"/>
      <c r="N2315" s="11"/>
      <c r="O2315" s="11"/>
      <c r="P2315" s="11"/>
    </row>
    <row r="2316" spans="8:16" x14ac:dyDescent="0.25">
      <c r="H2316" s="12"/>
      <c r="I2316" s="12"/>
      <c r="J2316" s="12"/>
      <c r="K2316" s="12"/>
      <c r="L2316" s="12"/>
      <c r="M2316" s="11"/>
      <c r="N2316" s="11"/>
      <c r="O2316" s="11"/>
      <c r="P2316" s="11"/>
    </row>
    <row r="2317" spans="8:16" x14ac:dyDescent="0.25">
      <c r="H2317" s="12"/>
      <c r="I2317" s="12"/>
      <c r="J2317" s="12"/>
      <c r="K2317" s="12"/>
      <c r="L2317" s="12"/>
      <c r="M2317" s="11"/>
      <c r="N2317" s="11"/>
      <c r="O2317" s="11"/>
      <c r="P2317" s="11"/>
    </row>
    <row r="2318" spans="8:16" x14ac:dyDescent="0.25">
      <c r="H2318" s="12"/>
      <c r="I2318" s="12"/>
      <c r="J2318" s="12"/>
      <c r="K2318" s="12"/>
      <c r="L2318" s="12"/>
      <c r="M2318" s="11"/>
      <c r="N2318" s="11"/>
      <c r="O2318" s="11"/>
      <c r="P2318" s="11"/>
    </row>
    <row r="2319" spans="8:16" x14ac:dyDescent="0.25">
      <c r="H2319" s="12"/>
      <c r="I2319" s="12"/>
      <c r="J2319" s="12"/>
      <c r="K2319" s="12"/>
      <c r="L2319" s="12"/>
      <c r="M2319" s="11"/>
      <c r="N2319" s="11"/>
      <c r="O2319" s="11"/>
      <c r="P2319" s="11"/>
    </row>
    <row r="2320" spans="8:16" x14ac:dyDescent="0.25">
      <c r="H2320" s="12"/>
      <c r="I2320" s="12"/>
      <c r="J2320" s="12"/>
      <c r="K2320" s="12"/>
      <c r="L2320" s="12"/>
      <c r="M2320" s="11"/>
      <c r="N2320" s="11"/>
      <c r="O2320" s="11"/>
      <c r="P2320" s="11"/>
    </row>
    <row r="2321" spans="8:16" x14ac:dyDescent="0.25">
      <c r="H2321" s="12"/>
      <c r="I2321" s="12"/>
      <c r="J2321" s="12"/>
      <c r="K2321" s="12"/>
      <c r="L2321" s="12"/>
      <c r="M2321" s="11"/>
      <c r="N2321" s="11"/>
      <c r="O2321" s="11"/>
      <c r="P2321" s="11"/>
    </row>
    <row r="2322" spans="8:16" x14ac:dyDescent="0.25">
      <c r="H2322" s="12"/>
      <c r="I2322" s="12"/>
      <c r="J2322" s="12"/>
      <c r="K2322" s="12"/>
      <c r="L2322" s="12"/>
      <c r="M2322" s="11"/>
      <c r="N2322" s="11"/>
      <c r="O2322" s="11"/>
      <c r="P2322" s="11"/>
    </row>
    <row r="2323" spans="8:16" x14ac:dyDescent="0.25">
      <c r="H2323" s="12"/>
      <c r="I2323" s="12"/>
      <c r="J2323" s="12"/>
      <c r="K2323" s="12"/>
      <c r="L2323" s="12"/>
      <c r="M2323" s="11"/>
      <c r="N2323" s="11"/>
      <c r="O2323" s="11"/>
      <c r="P2323" s="11"/>
    </row>
    <row r="2324" spans="8:16" x14ac:dyDescent="0.25">
      <c r="H2324" s="12"/>
      <c r="I2324" s="12"/>
      <c r="J2324" s="12"/>
      <c r="K2324" s="12"/>
      <c r="L2324" s="12"/>
      <c r="M2324" s="11"/>
      <c r="N2324" s="11"/>
      <c r="O2324" s="11"/>
      <c r="P2324" s="11"/>
    </row>
    <row r="2325" spans="8:16" x14ac:dyDescent="0.25">
      <c r="H2325" s="12"/>
      <c r="I2325" s="12"/>
      <c r="J2325" s="12"/>
      <c r="K2325" s="12"/>
      <c r="L2325" s="12"/>
      <c r="M2325" s="11"/>
      <c r="N2325" s="11"/>
      <c r="O2325" s="11"/>
      <c r="P2325" s="11"/>
    </row>
    <row r="2326" spans="8:16" x14ac:dyDescent="0.25">
      <c r="H2326" s="12"/>
      <c r="I2326" s="12"/>
      <c r="J2326" s="12"/>
      <c r="K2326" s="12"/>
      <c r="L2326" s="12"/>
      <c r="M2326" s="11"/>
      <c r="N2326" s="11"/>
      <c r="O2326" s="11"/>
      <c r="P2326" s="11"/>
    </row>
    <row r="2327" spans="8:16" x14ac:dyDescent="0.25">
      <c r="H2327" s="12"/>
      <c r="I2327" s="12"/>
      <c r="J2327" s="12"/>
      <c r="K2327" s="12"/>
      <c r="L2327" s="12"/>
      <c r="M2327" s="11"/>
      <c r="N2327" s="11"/>
      <c r="O2327" s="11"/>
      <c r="P2327" s="11"/>
    </row>
    <row r="2328" spans="8:16" x14ac:dyDescent="0.25">
      <c r="H2328" s="12"/>
      <c r="I2328" s="12"/>
      <c r="J2328" s="12"/>
      <c r="K2328" s="12"/>
      <c r="L2328" s="12"/>
      <c r="M2328" s="11"/>
      <c r="N2328" s="11"/>
      <c r="O2328" s="11"/>
      <c r="P2328" s="11"/>
    </row>
    <row r="2329" spans="8:16" x14ac:dyDescent="0.25">
      <c r="H2329" s="12"/>
      <c r="I2329" s="12"/>
      <c r="J2329" s="12"/>
      <c r="K2329" s="12"/>
      <c r="L2329" s="12"/>
      <c r="M2329" s="11"/>
      <c r="N2329" s="11"/>
      <c r="O2329" s="11"/>
      <c r="P2329" s="11"/>
    </row>
    <row r="2330" spans="8:16" x14ac:dyDescent="0.25">
      <c r="H2330" s="12"/>
      <c r="I2330" s="12"/>
      <c r="J2330" s="12"/>
      <c r="K2330" s="12"/>
      <c r="L2330" s="12"/>
      <c r="M2330" s="11"/>
      <c r="N2330" s="11"/>
      <c r="O2330" s="11"/>
      <c r="P2330" s="11"/>
    </row>
    <row r="2331" spans="8:16" x14ac:dyDescent="0.25">
      <c r="H2331" s="12"/>
      <c r="I2331" s="12"/>
      <c r="J2331" s="12"/>
      <c r="K2331" s="12"/>
      <c r="L2331" s="12"/>
      <c r="M2331" s="11"/>
      <c r="N2331" s="11"/>
      <c r="O2331" s="11"/>
      <c r="P2331" s="11"/>
    </row>
    <row r="2332" spans="8:16" x14ac:dyDescent="0.25">
      <c r="H2332" s="12"/>
      <c r="I2332" s="12"/>
      <c r="J2332" s="12"/>
      <c r="K2332" s="12"/>
      <c r="L2332" s="12"/>
      <c r="M2332" s="11"/>
      <c r="N2332" s="11"/>
      <c r="O2332" s="11"/>
      <c r="P2332" s="11"/>
    </row>
    <row r="2333" spans="8:16" x14ac:dyDescent="0.25">
      <c r="H2333" s="12"/>
      <c r="I2333" s="12"/>
      <c r="J2333" s="12"/>
      <c r="K2333" s="12"/>
      <c r="L2333" s="12"/>
      <c r="M2333" s="11"/>
      <c r="N2333" s="11"/>
      <c r="O2333" s="11"/>
      <c r="P2333" s="11"/>
    </row>
    <row r="2334" spans="8:16" x14ac:dyDescent="0.25">
      <c r="H2334" s="12"/>
      <c r="I2334" s="12"/>
      <c r="J2334" s="12"/>
      <c r="K2334" s="12"/>
      <c r="L2334" s="12"/>
      <c r="M2334" s="11"/>
      <c r="N2334" s="11"/>
      <c r="O2334" s="11"/>
      <c r="P2334" s="11"/>
    </row>
    <row r="2335" spans="8:16" x14ac:dyDescent="0.25">
      <c r="H2335" s="12"/>
      <c r="I2335" s="12"/>
      <c r="J2335" s="12"/>
      <c r="K2335" s="12"/>
      <c r="L2335" s="12"/>
      <c r="M2335" s="11"/>
      <c r="N2335" s="11"/>
      <c r="O2335" s="11"/>
      <c r="P2335" s="11"/>
    </row>
    <row r="2336" spans="8:16" x14ac:dyDescent="0.25">
      <c r="H2336" s="12"/>
      <c r="I2336" s="12"/>
      <c r="J2336" s="12"/>
      <c r="K2336" s="12"/>
      <c r="L2336" s="12"/>
      <c r="M2336" s="11"/>
      <c r="N2336" s="11"/>
      <c r="O2336" s="11"/>
      <c r="P2336" s="11"/>
    </row>
    <row r="2337" spans="8:16" x14ac:dyDescent="0.25">
      <c r="H2337" s="12"/>
      <c r="I2337" s="12"/>
      <c r="J2337" s="12"/>
      <c r="K2337" s="12"/>
      <c r="L2337" s="12"/>
      <c r="M2337" s="11"/>
      <c r="N2337" s="11"/>
      <c r="O2337" s="11"/>
      <c r="P2337" s="11"/>
    </row>
    <row r="2338" spans="8:16" x14ac:dyDescent="0.25">
      <c r="H2338" s="12"/>
      <c r="I2338" s="12"/>
      <c r="J2338" s="12"/>
      <c r="K2338" s="12"/>
      <c r="L2338" s="12"/>
      <c r="M2338" s="11"/>
      <c r="N2338" s="11"/>
      <c r="O2338" s="11"/>
      <c r="P2338" s="11"/>
    </row>
    <row r="2339" spans="8:16" x14ac:dyDescent="0.25">
      <c r="H2339" s="12"/>
      <c r="I2339" s="12"/>
      <c r="J2339" s="12"/>
      <c r="K2339" s="12"/>
      <c r="L2339" s="12"/>
      <c r="M2339" s="11"/>
      <c r="N2339" s="11"/>
      <c r="O2339" s="11"/>
      <c r="P2339" s="11"/>
    </row>
    <row r="2340" spans="8:16" x14ac:dyDescent="0.25">
      <c r="H2340" s="12"/>
      <c r="I2340" s="12"/>
      <c r="J2340" s="12"/>
      <c r="K2340" s="12"/>
      <c r="L2340" s="12"/>
      <c r="M2340" s="11"/>
      <c r="N2340" s="11"/>
      <c r="O2340" s="11"/>
      <c r="P2340" s="11"/>
    </row>
    <row r="2341" spans="8:16" x14ac:dyDescent="0.25">
      <c r="H2341" s="12"/>
      <c r="I2341" s="12"/>
      <c r="J2341" s="12"/>
      <c r="K2341" s="12"/>
      <c r="L2341" s="12"/>
      <c r="M2341" s="11"/>
      <c r="N2341" s="11"/>
      <c r="O2341" s="11"/>
      <c r="P2341" s="11"/>
    </row>
    <row r="2342" spans="8:16" x14ac:dyDescent="0.25">
      <c r="H2342" s="12"/>
      <c r="I2342" s="12"/>
      <c r="J2342" s="12"/>
      <c r="K2342" s="12"/>
      <c r="L2342" s="12"/>
      <c r="M2342" s="11"/>
      <c r="N2342" s="11"/>
      <c r="O2342" s="11"/>
      <c r="P2342" s="11"/>
    </row>
    <row r="2343" spans="8:16" x14ac:dyDescent="0.25">
      <c r="H2343" s="12"/>
      <c r="I2343" s="12"/>
      <c r="J2343" s="12"/>
      <c r="K2343" s="12"/>
      <c r="L2343" s="12"/>
      <c r="M2343" s="11"/>
      <c r="N2343" s="11"/>
      <c r="O2343" s="11"/>
      <c r="P2343" s="11"/>
    </row>
    <row r="2344" spans="8:16" x14ac:dyDescent="0.25">
      <c r="H2344" s="12"/>
      <c r="I2344" s="12"/>
      <c r="J2344" s="12"/>
      <c r="K2344" s="12"/>
      <c r="L2344" s="12"/>
      <c r="M2344" s="11"/>
      <c r="N2344" s="11"/>
      <c r="O2344" s="11"/>
      <c r="P2344" s="11"/>
    </row>
    <row r="2345" spans="8:16" x14ac:dyDescent="0.25">
      <c r="H2345" s="12"/>
      <c r="I2345" s="12"/>
      <c r="J2345" s="12"/>
      <c r="K2345" s="12"/>
      <c r="L2345" s="12"/>
      <c r="M2345" s="11"/>
      <c r="N2345" s="11"/>
      <c r="O2345" s="11"/>
      <c r="P2345" s="11"/>
    </row>
    <row r="2346" spans="8:16" x14ac:dyDescent="0.25">
      <c r="H2346" s="12"/>
      <c r="I2346" s="12"/>
      <c r="J2346" s="12"/>
      <c r="K2346" s="12"/>
      <c r="L2346" s="12"/>
      <c r="M2346" s="11"/>
      <c r="N2346" s="11"/>
      <c r="O2346" s="11"/>
      <c r="P2346" s="11"/>
    </row>
    <row r="2347" spans="8:16" x14ac:dyDescent="0.25">
      <c r="H2347" s="12"/>
      <c r="I2347" s="12"/>
      <c r="J2347" s="12"/>
      <c r="K2347" s="12"/>
      <c r="L2347" s="12"/>
      <c r="M2347" s="11"/>
      <c r="N2347" s="11"/>
      <c r="O2347" s="11"/>
      <c r="P2347" s="11"/>
    </row>
    <row r="2348" spans="8:16" x14ac:dyDescent="0.25">
      <c r="H2348" s="12"/>
      <c r="I2348" s="12"/>
      <c r="J2348" s="12"/>
      <c r="K2348" s="12"/>
      <c r="L2348" s="12"/>
      <c r="M2348" s="11"/>
      <c r="N2348" s="11"/>
      <c r="O2348" s="11"/>
      <c r="P2348" s="11"/>
    </row>
    <row r="2349" spans="8:16" x14ac:dyDescent="0.25">
      <c r="H2349" s="12"/>
      <c r="I2349" s="12"/>
      <c r="J2349" s="12"/>
      <c r="K2349" s="12"/>
      <c r="L2349" s="12"/>
      <c r="M2349" s="11"/>
      <c r="N2349" s="11"/>
      <c r="O2349" s="11"/>
      <c r="P2349" s="11"/>
    </row>
    <row r="2350" spans="8:16" x14ac:dyDescent="0.25">
      <c r="H2350" s="12"/>
      <c r="I2350" s="12"/>
      <c r="J2350" s="12"/>
      <c r="K2350" s="12"/>
      <c r="L2350" s="12"/>
      <c r="M2350" s="11"/>
      <c r="N2350" s="11"/>
      <c r="O2350" s="11"/>
      <c r="P2350" s="11"/>
    </row>
    <row r="2351" spans="8:16" x14ac:dyDescent="0.25">
      <c r="H2351" s="12"/>
      <c r="I2351" s="12"/>
      <c r="J2351" s="12"/>
      <c r="K2351" s="12"/>
      <c r="L2351" s="12"/>
      <c r="M2351" s="11"/>
      <c r="N2351" s="11"/>
      <c r="O2351" s="11"/>
      <c r="P2351" s="11"/>
    </row>
    <row r="2352" spans="8:16" x14ac:dyDescent="0.25">
      <c r="H2352" s="12"/>
      <c r="I2352" s="12"/>
      <c r="J2352" s="12"/>
      <c r="K2352" s="12"/>
      <c r="L2352" s="12"/>
      <c r="M2352" s="11"/>
      <c r="N2352" s="11"/>
      <c r="O2352" s="11"/>
      <c r="P2352" s="11"/>
    </row>
    <row r="2353" spans="8:16" x14ac:dyDescent="0.25">
      <c r="H2353" s="12"/>
      <c r="I2353" s="12"/>
      <c r="J2353" s="12"/>
      <c r="K2353" s="12"/>
      <c r="L2353" s="12"/>
      <c r="M2353" s="11"/>
      <c r="N2353" s="11"/>
      <c r="O2353" s="11"/>
      <c r="P2353" s="11"/>
    </row>
    <row r="2354" spans="8:16" x14ac:dyDescent="0.25">
      <c r="H2354" s="12"/>
      <c r="I2354" s="12"/>
      <c r="J2354" s="12"/>
      <c r="K2354" s="12"/>
      <c r="L2354" s="12"/>
      <c r="M2354" s="11"/>
      <c r="N2354" s="11"/>
      <c r="O2354" s="11"/>
      <c r="P2354" s="11"/>
    </row>
    <row r="2355" spans="8:16" x14ac:dyDescent="0.25">
      <c r="H2355" s="12"/>
      <c r="I2355" s="12"/>
      <c r="J2355" s="12"/>
      <c r="K2355" s="12"/>
      <c r="L2355" s="12"/>
      <c r="M2355" s="11"/>
      <c r="N2355" s="11"/>
      <c r="O2355" s="11"/>
      <c r="P2355" s="11"/>
    </row>
    <row r="2356" spans="8:16" x14ac:dyDescent="0.25">
      <c r="H2356" s="12"/>
      <c r="I2356" s="12"/>
      <c r="J2356" s="12"/>
      <c r="K2356" s="12"/>
      <c r="L2356" s="12"/>
      <c r="M2356" s="11"/>
      <c r="N2356" s="11"/>
      <c r="O2356" s="11"/>
      <c r="P2356" s="11"/>
    </row>
    <row r="2357" spans="8:16" x14ac:dyDescent="0.25">
      <c r="H2357" s="12"/>
      <c r="I2357" s="12"/>
      <c r="J2357" s="12"/>
      <c r="K2357" s="12"/>
      <c r="L2357" s="12"/>
      <c r="M2357" s="11"/>
      <c r="N2357" s="11"/>
      <c r="O2357" s="11"/>
      <c r="P2357" s="11"/>
    </row>
    <row r="2358" spans="8:16" x14ac:dyDescent="0.25">
      <c r="H2358" s="12"/>
      <c r="I2358" s="12"/>
      <c r="J2358" s="12"/>
      <c r="K2358" s="12"/>
      <c r="L2358" s="12"/>
      <c r="M2358" s="11"/>
      <c r="N2358" s="11"/>
      <c r="O2358" s="11"/>
      <c r="P2358" s="11"/>
    </row>
    <row r="2359" spans="8:16" x14ac:dyDescent="0.25">
      <c r="H2359" s="12"/>
      <c r="I2359" s="12"/>
      <c r="J2359" s="12"/>
      <c r="K2359" s="12"/>
      <c r="L2359" s="12"/>
      <c r="M2359" s="11"/>
      <c r="N2359" s="11"/>
      <c r="O2359" s="11"/>
      <c r="P2359" s="11"/>
    </row>
    <row r="2360" spans="8:16" x14ac:dyDescent="0.25">
      <c r="H2360" s="12"/>
      <c r="I2360" s="12"/>
      <c r="J2360" s="12"/>
      <c r="K2360" s="12"/>
      <c r="L2360" s="12"/>
      <c r="M2360" s="11"/>
      <c r="N2360" s="11"/>
      <c r="O2360" s="11"/>
      <c r="P2360" s="11"/>
    </row>
    <row r="2361" spans="8:16" x14ac:dyDescent="0.25">
      <c r="H2361" s="12"/>
      <c r="I2361" s="12"/>
      <c r="J2361" s="12"/>
      <c r="K2361" s="12"/>
      <c r="L2361" s="12"/>
      <c r="M2361" s="11"/>
      <c r="N2361" s="11"/>
      <c r="O2361" s="11"/>
      <c r="P2361" s="11"/>
    </row>
    <row r="2362" spans="8:16" x14ac:dyDescent="0.25">
      <c r="H2362" s="12"/>
      <c r="I2362" s="12"/>
      <c r="J2362" s="12"/>
      <c r="K2362" s="12"/>
      <c r="L2362" s="12"/>
      <c r="M2362" s="11"/>
      <c r="N2362" s="11"/>
      <c r="O2362" s="11"/>
      <c r="P2362" s="11"/>
    </row>
    <row r="2363" spans="8:16" x14ac:dyDescent="0.25">
      <c r="H2363" s="12"/>
      <c r="I2363" s="12"/>
      <c r="J2363" s="12"/>
      <c r="K2363" s="12"/>
      <c r="L2363" s="12"/>
      <c r="M2363" s="11"/>
      <c r="N2363" s="11"/>
      <c r="O2363" s="11"/>
      <c r="P2363" s="11"/>
    </row>
    <row r="2364" spans="8:16" x14ac:dyDescent="0.25">
      <c r="H2364" s="12"/>
      <c r="I2364" s="12"/>
      <c r="J2364" s="12"/>
      <c r="K2364" s="12"/>
      <c r="L2364" s="12"/>
      <c r="M2364" s="11"/>
      <c r="N2364" s="11"/>
      <c r="O2364" s="11"/>
      <c r="P2364" s="11"/>
    </row>
    <row r="2365" spans="8:16" x14ac:dyDescent="0.25">
      <c r="H2365" s="12"/>
      <c r="I2365" s="12"/>
      <c r="J2365" s="12"/>
      <c r="K2365" s="12"/>
      <c r="L2365" s="12"/>
      <c r="M2365" s="11"/>
      <c r="N2365" s="11"/>
      <c r="O2365" s="11"/>
      <c r="P2365" s="11"/>
    </row>
    <row r="2366" spans="8:16" x14ac:dyDescent="0.25">
      <c r="H2366" s="12"/>
      <c r="I2366" s="12"/>
      <c r="J2366" s="12"/>
      <c r="K2366" s="12"/>
      <c r="L2366" s="12"/>
      <c r="M2366" s="11"/>
      <c r="N2366" s="11"/>
      <c r="O2366" s="11"/>
      <c r="P2366" s="11"/>
    </row>
    <row r="2367" spans="8:16" x14ac:dyDescent="0.25">
      <c r="H2367" s="12"/>
      <c r="I2367" s="12"/>
      <c r="J2367" s="12"/>
      <c r="K2367" s="12"/>
      <c r="L2367" s="12"/>
      <c r="M2367" s="11"/>
      <c r="N2367" s="11"/>
      <c r="O2367" s="11"/>
      <c r="P2367" s="11"/>
    </row>
    <row r="2368" spans="8:16" x14ac:dyDescent="0.25">
      <c r="H2368" s="12"/>
      <c r="I2368" s="12"/>
      <c r="J2368" s="12"/>
      <c r="K2368" s="12"/>
      <c r="L2368" s="12"/>
      <c r="M2368" s="11"/>
      <c r="N2368" s="11"/>
      <c r="O2368" s="11"/>
      <c r="P2368" s="11"/>
    </row>
    <row r="2369" spans="8:16" x14ac:dyDescent="0.25">
      <c r="H2369" s="12"/>
      <c r="I2369" s="12"/>
      <c r="J2369" s="12"/>
      <c r="K2369" s="12"/>
      <c r="L2369" s="12"/>
      <c r="M2369" s="11"/>
      <c r="N2369" s="11"/>
      <c r="O2369" s="11"/>
      <c r="P2369" s="11"/>
    </row>
    <row r="2370" spans="8:16" x14ac:dyDescent="0.25">
      <c r="H2370" s="12"/>
      <c r="I2370" s="12"/>
      <c r="J2370" s="12"/>
      <c r="K2370" s="12"/>
      <c r="L2370" s="12"/>
      <c r="M2370" s="11"/>
      <c r="N2370" s="11"/>
      <c r="O2370" s="11"/>
      <c r="P2370" s="11"/>
    </row>
    <row r="2371" spans="8:16" x14ac:dyDescent="0.25">
      <c r="H2371" s="12"/>
      <c r="I2371" s="12"/>
      <c r="J2371" s="12"/>
      <c r="K2371" s="12"/>
      <c r="L2371" s="12"/>
      <c r="M2371" s="11"/>
      <c r="N2371" s="11"/>
      <c r="O2371" s="11"/>
      <c r="P2371" s="11"/>
    </row>
    <row r="2372" spans="8:16" x14ac:dyDescent="0.25">
      <c r="H2372" s="12"/>
      <c r="I2372" s="12"/>
      <c r="J2372" s="12"/>
      <c r="K2372" s="12"/>
      <c r="L2372" s="12"/>
      <c r="M2372" s="11"/>
      <c r="N2372" s="11"/>
      <c r="O2372" s="11"/>
      <c r="P2372" s="11"/>
    </row>
    <row r="2373" spans="8:16" x14ac:dyDescent="0.25">
      <c r="H2373" s="12"/>
      <c r="I2373" s="12"/>
      <c r="J2373" s="12"/>
      <c r="K2373" s="12"/>
      <c r="L2373" s="12"/>
      <c r="M2373" s="11"/>
      <c r="N2373" s="11"/>
      <c r="O2373" s="11"/>
      <c r="P2373" s="11"/>
    </row>
    <row r="2374" spans="8:16" x14ac:dyDescent="0.25">
      <c r="H2374" s="12"/>
      <c r="I2374" s="12"/>
      <c r="J2374" s="12"/>
      <c r="K2374" s="12"/>
      <c r="L2374" s="12"/>
      <c r="M2374" s="11"/>
      <c r="N2374" s="11"/>
      <c r="O2374" s="11"/>
      <c r="P2374" s="11"/>
    </row>
    <row r="2375" spans="8:16" x14ac:dyDescent="0.25">
      <c r="H2375" s="12"/>
      <c r="I2375" s="12"/>
      <c r="J2375" s="12"/>
      <c r="K2375" s="12"/>
      <c r="L2375" s="12"/>
      <c r="M2375" s="11"/>
      <c r="N2375" s="11"/>
      <c r="O2375" s="11"/>
      <c r="P2375" s="11"/>
    </row>
    <row r="2376" spans="8:16" x14ac:dyDescent="0.25">
      <c r="H2376" s="12"/>
      <c r="I2376" s="12"/>
      <c r="J2376" s="12"/>
      <c r="K2376" s="12"/>
      <c r="L2376" s="12"/>
      <c r="M2376" s="11"/>
      <c r="N2376" s="11"/>
      <c r="O2376" s="11"/>
      <c r="P2376" s="11"/>
    </row>
    <row r="2377" spans="8:16" x14ac:dyDescent="0.25">
      <c r="H2377" s="12"/>
      <c r="I2377" s="12"/>
      <c r="J2377" s="12"/>
      <c r="K2377" s="12"/>
      <c r="L2377" s="12"/>
      <c r="M2377" s="11"/>
      <c r="N2377" s="11"/>
      <c r="O2377" s="11"/>
      <c r="P2377" s="11"/>
    </row>
    <row r="2378" spans="8:16" x14ac:dyDescent="0.25">
      <c r="H2378" s="12"/>
      <c r="I2378" s="12"/>
      <c r="J2378" s="12"/>
      <c r="K2378" s="12"/>
      <c r="L2378" s="12"/>
      <c r="M2378" s="11"/>
      <c r="N2378" s="11"/>
      <c r="O2378" s="11"/>
      <c r="P2378" s="11"/>
    </row>
    <row r="2379" spans="8:16" x14ac:dyDescent="0.25">
      <c r="H2379" s="12"/>
      <c r="I2379" s="12"/>
      <c r="J2379" s="12"/>
      <c r="K2379" s="12"/>
      <c r="L2379" s="12"/>
      <c r="M2379" s="11"/>
      <c r="N2379" s="11"/>
      <c r="O2379" s="11"/>
      <c r="P2379" s="11"/>
    </row>
    <row r="2380" spans="8:16" x14ac:dyDescent="0.25">
      <c r="H2380" s="12"/>
      <c r="I2380" s="12"/>
      <c r="J2380" s="12"/>
      <c r="K2380" s="12"/>
      <c r="L2380" s="12"/>
      <c r="M2380" s="11"/>
      <c r="N2380" s="11"/>
      <c r="O2380" s="11"/>
      <c r="P2380" s="11"/>
    </row>
    <row r="2381" spans="8:16" x14ac:dyDescent="0.25">
      <c r="H2381" s="12"/>
      <c r="I2381" s="12"/>
      <c r="J2381" s="12"/>
      <c r="K2381" s="12"/>
      <c r="L2381" s="12"/>
      <c r="M2381" s="11"/>
      <c r="N2381" s="11"/>
      <c r="O2381" s="11"/>
      <c r="P2381" s="11"/>
    </row>
    <row r="2382" spans="8:16" x14ac:dyDescent="0.25">
      <c r="H2382" s="12"/>
      <c r="I2382" s="12"/>
      <c r="J2382" s="12"/>
      <c r="K2382" s="12"/>
      <c r="L2382" s="12"/>
      <c r="M2382" s="11"/>
      <c r="N2382" s="11"/>
      <c r="O2382" s="11"/>
      <c r="P2382" s="11"/>
    </row>
    <row r="2383" spans="8:16" x14ac:dyDescent="0.25">
      <c r="H2383" s="12"/>
      <c r="I2383" s="12"/>
      <c r="J2383" s="12"/>
      <c r="K2383" s="12"/>
      <c r="L2383" s="12"/>
      <c r="M2383" s="11"/>
      <c r="N2383" s="11"/>
      <c r="O2383" s="11"/>
      <c r="P2383" s="11"/>
    </row>
    <row r="2384" spans="8:16" x14ac:dyDescent="0.25">
      <c r="H2384" s="12"/>
      <c r="I2384" s="12"/>
      <c r="J2384" s="12"/>
      <c r="K2384" s="12"/>
      <c r="L2384" s="12"/>
      <c r="M2384" s="11"/>
      <c r="N2384" s="11"/>
      <c r="O2384" s="11"/>
      <c r="P2384" s="11"/>
    </row>
    <row r="2385" spans="8:16" x14ac:dyDescent="0.25">
      <c r="H2385" s="12"/>
      <c r="I2385" s="12"/>
      <c r="J2385" s="12"/>
      <c r="K2385" s="12"/>
      <c r="L2385" s="12"/>
      <c r="M2385" s="11"/>
      <c r="N2385" s="11"/>
      <c r="O2385" s="11"/>
      <c r="P2385" s="11"/>
    </row>
    <row r="2386" spans="8:16" x14ac:dyDescent="0.25">
      <c r="H2386" s="12"/>
      <c r="I2386" s="12"/>
      <c r="J2386" s="12"/>
      <c r="K2386" s="12"/>
      <c r="L2386" s="12"/>
      <c r="M2386" s="11"/>
      <c r="N2386" s="11"/>
      <c r="O2386" s="11"/>
      <c r="P2386" s="11"/>
    </row>
    <row r="2387" spans="8:16" x14ac:dyDescent="0.25">
      <c r="H2387" s="12"/>
      <c r="I2387" s="12"/>
      <c r="J2387" s="12"/>
      <c r="K2387" s="12"/>
      <c r="L2387" s="12"/>
      <c r="M2387" s="11"/>
      <c r="N2387" s="11"/>
      <c r="O2387" s="11"/>
      <c r="P2387" s="11"/>
    </row>
    <row r="2388" spans="8:16" x14ac:dyDescent="0.25">
      <c r="H2388" s="12"/>
      <c r="I2388" s="12"/>
      <c r="J2388" s="12"/>
      <c r="K2388" s="12"/>
      <c r="L2388" s="12"/>
      <c r="M2388" s="11"/>
      <c r="N2388" s="11"/>
      <c r="O2388" s="11"/>
      <c r="P2388" s="11"/>
    </row>
    <row r="2389" spans="8:16" x14ac:dyDescent="0.25">
      <c r="H2389" s="12"/>
      <c r="I2389" s="12"/>
      <c r="J2389" s="12"/>
      <c r="K2389" s="12"/>
      <c r="L2389" s="12"/>
      <c r="M2389" s="11"/>
      <c r="N2389" s="11"/>
      <c r="O2389" s="11"/>
      <c r="P2389" s="11"/>
    </row>
    <row r="2390" spans="8:16" x14ac:dyDescent="0.25">
      <c r="H2390" s="12"/>
      <c r="I2390" s="12"/>
      <c r="J2390" s="12"/>
      <c r="K2390" s="12"/>
      <c r="L2390" s="12"/>
      <c r="M2390" s="11"/>
      <c r="N2390" s="11"/>
      <c r="O2390" s="11"/>
      <c r="P2390" s="11"/>
    </row>
    <row r="2391" spans="8:16" x14ac:dyDescent="0.25">
      <c r="H2391" s="12"/>
      <c r="I2391" s="12"/>
      <c r="J2391" s="12"/>
      <c r="K2391" s="12"/>
      <c r="L2391" s="12"/>
      <c r="M2391" s="11"/>
      <c r="N2391" s="11"/>
      <c r="O2391" s="11"/>
      <c r="P2391" s="11"/>
    </row>
    <row r="2392" spans="8:16" x14ac:dyDescent="0.25">
      <c r="H2392" s="12"/>
      <c r="I2392" s="12"/>
      <c r="J2392" s="12"/>
      <c r="K2392" s="12"/>
      <c r="L2392" s="12"/>
      <c r="M2392" s="11"/>
      <c r="N2392" s="11"/>
      <c r="O2392" s="11"/>
      <c r="P2392" s="11"/>
    </row>
    <row r="2393" spans="8:16" x14ac:dyDescent="0.25">
      <c r="H2393" s="12"/>
      <c r="I2393" s="12"/>
      <c r="J2393" s="12"/>
      <c r="K2393" s="12"/>
      <c r="L2393" s="12"/>
      <c r="M2393" s="11"/>
      <c r="N2393" s="11"/>
      <c r="O2393" s="11"/>
      <c r="P2393" s="11"/>
    </row>
    <row r="2394" spans="8:16" x14ac:dyDescent="0.25">
      <c r="H2394" s="12"/>
      <c r="I2394" s="12"/>
      <c r="J2394" s="12"/>
      <c r="K2394" s="12"/>
      <c r="L2394" s="12"/>
      <c r="M2394" s="11"/>
      <c r="N2394" s="11"/>
      <c r="O2394" s="11"/>
      <c r="P2394" s="11"/>
    </row>
    <row r="2395" spans="8:16" x14ac:dyDescent="0.25">
      <c r="H2395" s="12"/>
      <c r="I2395" s="12"/>
      <c r="J2395" s="12"/>
      <c r="K2395" s="12"/>
      <c r="L2395" s="12"/>
      <c r="M2395" s="11"/>
      <c r="N2395" s="11"/>
      <c r="O2395" s="11"/>
      <c r="P2395" s="11"/>
    </row>
    <row r="2396" spans="8:16" x14ac:dyDescent="0.25">
      <c r="H2396" s="12"/>
      <c r="I2396" s="12"/>
      <c r="J2396" s="12"/>
      <c r="K2396" s="12"/>
      <c r="L2396" s="12"/>
      <c r="M2396" s="11"/>
      <c r="N2396" s="11"/>
      <c r="O2396" s="11"/>
      <c r="P2396" s="11"/>
    </row>
    <row r="2397" spans="8:16" x14ac:dyDescent="0.25">
      <c r="H2397" s="12"/>
      <c r="I2397" s="12"/>
      <c r="J2397" s="12"/>
      <c r="K2397" s="12"/>
      <c r="L2397" s="12"/>
      <c r="M2397" s="11"/>
      <c r="N2397" s="11"/>
      <c r="O2397" s="11"/>
      <c r="P2397" s="11"/>
    </row>
    <row r="2398" spans="8:16" x14ac:dyDescent="0.25">
      <c r="H2398" s="12"/>
      <c r="I2398" s="12"/>
      <c r="J2398" s="12"/>
      <c r="K2398" s="12"/>
      <c r="L2398" s="12"/>
      <c r="M2398" s="11"/>
      <c r="N2398" s="11"/>
      <c r="O2398" s="11"/>
      <c r="P2398" s="11"/>
    </row>
    <row r="2399" spans="8:16" x14ac:dyDescent="0.25">
      <c r="H2399" s="12"/>
      <c r="I2399" s="12"/>
      <c r="J2399" s="12"/>
      <c r="K2399" s="12"/>
      <c r="L2399" s="12"/>
      <c r="M2399" s="11"/>
      <c r="N2399" s="11"/>
      <c r="O2399" s="11"/>
      <c r="P2399" s="11"/>
    </row>
    <row r="2400" spans="8:16" x14ac:dyDescent="0.25">
      <c r="H2400" s="12"/>
      <c r="I2400" s="12"/>
      <c r="J2400" s="12"/>
      <c r="K2400" s="12"/>
      <c r="L2400" s="12"/>
      <c r="M2400" s="11"/>
      <c r="N2400" s="11"/>
      <c r="O2400" s="11"/>
      <c r="P2400" s="11"/>
    </row>
    <row r="2401" spans="8:16" x14ac:dyDescent="0.25">
      <c r="H2401" s="12"/>
      <c r="I2401" s="12"/>
      <c r="J2401" s="12"/>
      <c r="K2401" s="12"/>
      <c r="L2401" s="12"/>
      <c r="M2401" s="11"/>
      <c r="N2401" s="11"/>
      <c r="O2401" s="11"/>
      <c r="P2401" s="11"/>
    </row>
    <row r="2402" spans="8:16" x14ac:dyDescent="0.25">
      <c r="H2402" s="12"/>
      <c r="I2402" s="12"/>
      <c r="J2402" s="12"/>
      <c r="K2402" s="12"/>
      <c r="L2402" s="12"/>
      <c r="M2402" s="11"/>
      <c r="N2402" s="11"/>
      <c r="O2402" s="11"/>
      <c r="P2402" s="11"/>
    </row>
    <row r="2403" spans="8:16" x14ac:dyDescent="0.25">
      <c r="H2403" s="12"/>
      <c r="I2403" s="12"/>
      <c r="J2403" s="12"/>
      <c r="K2403" s="12"/>
      <c r="L2403" s="12"/>
      <c r="M2403" s="11"/>
      <c r="N2403" s="11"/>
      <c r="O2403" s="11"/>
      <c r="P2403" s="11"/>
    </row>
    <row r="2404" spans="8:16" x14ac:dyDescent="0.25">
      <c r="H2404" s="12"/>
      <c r="I2404" s="12"/>
      <c r="J2404" s="12"/>
      <c r="K2404" s="12"/>
      <c r="L2404" s="12"/>
      <c r="M2404" s="11"/>
      <c r="N2404" s="11"/>
      <c r="O2404" s="11"/>
      <c r="P2404" s="11"/>
    </row>
    <row r="2405" spans="8:16" x14ac:dyDescent="0.25">
      <c r="H2405" s="12"/>
      <c r="I2405" s="12"/>
      <c r="J2405" s="12"/>
      <c r="K2405" s="12"/>
      <c r="L2405" s="12"/>
      <c r="M2405" s="11"/>
      <c r="N2405" s="11"/>
      <c r="O2405" s="11"/>
      <c r="P2405" s="11"/>
    </row>
    <row r="2406" spans="8:16" x14ac:dyDescent="0.25">
      <c r="H2406" s="12"/>
      <c r="I2406" s="12"/>
      <c r="J2406" s="12"/>
      <c r="K2406" s="12"/>
      <c r="L2406" s="12"/>
      <c r="M2406" s="11"/>
      <c r="N2406" s="11"/>
      <c r="O2406" s="11"/>
      <c r="P2406" s="11"/>
    </row>
    <row r="2407" spans="8:16" x14ac:dyDescent="0.25">
      <c r="H2407" s="12"/>
      <c r="I2407" s="12"/>
      <c r="J2407" s="12"/>
      <c r="K2407" s="12"/>
      <c r="L2407" s="12"/>
      <c r="M2407" s="11"/>
      <c r="N2407" s="11"/>
      <c r="O2407" s="11"/>
      <c r="P2407" s="11"/>
    </row>
    <row r="2408" spans="8:16" x14ac:dyDescent="0.25">
      <c r="H2408" s="12"/>
      <c r="I2408" s="12"/>
      <c r="J2408" s="12"/>
      <c r="K2408" s="12"/>
      <c r="L2408" s="12"/>
      <c r="M2408" s="11"/>
      <c r="N2408" s="11"/>
      <c r="O2408" s="11"/>
      <c r="P2408" s="11"/>
    </row>
    <row r="2409" spans="8:16" x14ac:dyDescent="0.25">
      <c r="H2409" s="12"/>
      <c r="I2409" s="12"/>
      <c r="J2409" s="12"/>
      <c r="K2409" s="12"/>
      <c r="L2409" s="12"/>
      <c r="M2409" s="11"/>
      <c r="N2409" s="11"/>
      <c r="O2409" s="11"/>
      <c r="P2409" s="11"/>
    </row>
    <row r="2410" spans="8:16" x14ac:dyDescent="0.25">
      <c r="H2410" s="12"/>
      <c r="I2410" s="12"/>
      <c r="J2410" s="12"/>
      <c r="K2410" s="12"/>
      <c r="L2410" s="12"/>
      <c r="M2410" s="11"/>
      <c r="N2410" s="11"/>
      <c r="O2410" s="11"/>
      <c r="P2410" s="11"/>
    </row>
    <row r="2411" spans="8:16" x14ac:dyDescent="0.25">
      <c r="H2411" s="12"/>
      <c r="I2411" s="12"/>
      <c r="J2411" s="12"/>
      <c r="K2411" s="12"/>
      <c r="L2411" s="12"/>
      <c r="M2411" s="11"/>
      <c r="N2411" s="11"/>
      <c r="O2411" s="11"/>
      <c r="P2411" s="11"/>
    </row>
    <row r="2412" spans="8:16" x14ac:dyDescent="0.25">
      <c r="H2412" s="12"/>
      <c r="I2412" s="12"/>
      <c r="J2412" s="12"/>
      <c r="K2412" s="12"/>
      <c r="L2412" s="12"/>
      <c r="M2412" s="11"/>
      <c r="N2412" s="11"/>
      <c r="O2412" s="11"/>
      <c r="P2412" s="11"/>
    </row>
    <row r="2413" spans="8:16" x14ac:dyDescent="0.25">
      <c r="H2413" s="12"/>
      <c r="I2413" s="12"/>
      <c r="J2413" s="12"/>
      <c r="K2413" s="12"/>
      <c r="L2413" s="12"/>
      <c r="M2413" s="11"/>
      <c r="N2413" s="11"/>
      <c r="O2413" s="11"/>
      <c r="P2413" s="11"/>
    </row>
    <row r="2414" spans="8:16" x14ac:dyDescent="0.25">
      <c r="H2414" s="12"/>
      <c r="I2414" s="12"/>
      <c r="J2414" s="12"/>
      <c r="K2414" s="12"/>
      <c r="L2414" s="12"/>
      <c r="M2414" s="11"/>
      <c r="N2414" s="11"/>
      <c r="O2414" s="11"/>
      <c r="P2414" s="11"/>
    </row>
    <row r="2415" spans="8:16" x14ac:dyDescent="0.25">
      <c r="H2415" s="12"/>
      <c r="I2415" s="12"/>
      <c r="J2415" s="12"/>
      <c r="K2415" s="12"/>
      <c r="L2415" s="12"/>
      <c r="M2415" s="11"/>
      <c r="N2415" s="11"/>
      <c r="O2415" s="11"/>
      <c r="P2415" s="11"/>
    </row>
    <row r="2416" spans="8:16" x14ac:dyDescent="0.25">
      <c r="H2416" s="12"/>
      <c r="I2416" s="12"/>
      <c r="J2416" s="12"/>
      <c r="K2416" s="12"/>
      <c r="L2416" s="12"/>
      <c r="M2416" s="11"/>
      <c r="N2416" s="11"/>
      <c r="O2416" s="11"/>
      <c r="P2416" s="11"/>
    </row>
    <row r="2417" spans="8:16" x14ac:dyDescent="0.25">
      <c r="H2417" s="12"/>
      <c r="I2417" s="12"/>
      <c r="J2417" s="12"/>
      <c r="K2417" s="12"/>
      <c r="L2417" s="12"/>
      <c r="M2417" s="11"/>
      <c r="N2417" s="11"/>
      <c r="O2417" s="11"/>
      <c r="P2417" s="11"/>
    </row>
    <row r="2418" spans="8:16" x14ac:dyDescent="0.25">
      <c r="H2418" s="12"/>
      <c r="I2418" s="12"/>
      <c r="J2418" s="12"/>
      <c r="K2418" s="12"/>
      <c r="L2418" s="12"/>
      <c r="M2418" s="11"/>
      <c r="N2418" s="11"/>
      <c r="O2418" s="11"/>
      <c r="P2418" s="11"/>
    </row>
    <row r="2419" spans="8:16" x14ac:dyDescent="0.25">
      <c r="H2419" s="12"/>
      <c r="I2419" s="12"/>
      <c r="J2419" s="12"/>
      <c r="K2419" s="12"/>
      <c r="L2419" s="12"/>
      <c r="M2419" s="11"/>
      <c r="N2419" s="11"/>
      <c r="O2419" s="11"/>
      <c r="P2419" s="11"/>
    </row>
    <row r="2420" spans="8:16" x14ac:dyDescent="0.25">
      <c r="H2420" s="12"/>
      <c r="I2420" s="12"/>
      <c r="J2420" s="12"/>
      <c r="K2420" s="12"/>
      <c r="L2420" s="12"/>
      <c r="M2420" s="11"/>
      <c r="N2420" s="11"/>
      <c r="O2420" s="11"/>
      <c r="P2420" s="11"/>
    </row>
    <row r="2421" spans="8:16" x14ac:dyDescent="0.25">
      <c r="H2421" s="12"/>
      <c r="I2421" s="12"/>
      <c r="J2421" s="12"/>
      <c r="K2421" s="12"/>
      <c r="L2421" s="12"/>
      <c r="M2421" s="11"/>
      <c r="N2421" s="11"/>
      <c r="O2421" s="11"/>
      <c r="P2421" s="11"/>
    </row>
    <row r="2422" spans="8:16" x14ac:dyDescent="0.25">
      <c r="H2422" s="12"/>
      <c r="I2422" s="12"/>
      <c r="J2422" s="12"/>
      <c r="K2422" s="12"/>
      <c r="L2422" s="12"/>
      <c r="M2422" s="11"/>
      <c r="N2422" s="11"/>
      <c r="O2422" s="11"/>
      <c r="P2422" s="11"/>
    </row>
    <row r="2423" spans="8:16" x14ac:dyDescent="0.25">
      <c r="H2423" s="12"/>
      <c r="I2423" s="12"/>
      <c r="J2423" s="12"/>
      <c r="K2423" s="12"/>
      <c r="L2423" s="12"/>
      <c r="M2423" s="11"/>
      <c r="N2423" s="11"/>
      <c r="O2423" s="11"/>
      <c r="P2423" s="11"/>
    </row>
    <row r="2424" spans="8:16" x14ac:dyDescent="0.25">
      <c r="H2424" s="12"/>
      <c r="I2424" s="12"/>
      <c r="J2424" s="12"/>
      <c r="K2424" s="12"/>
      <c r="L2424" s="12"/>
      <c r="M2424" s="11"/>
      <c r="N2424" s="11"/>
      <c r="O2424" s="11"/>
      <c r="P2424" s="11"/>
    </row>
    <row r="2425" spans="8:16" x14ac:dyDescent="0.25">
      <c r="H2425" s="12"/>
      <c r="I2425" s="12"/>
      <c r="J2425" s="12"/>
      <c r="K2425" s="12"/>
      <c r="L2425" s="12"/>
      <c r="M2425" s="11"/>
      <c r="N2425" s="11"/>
      <c r="O2425" s="11"/>
      <c r="P2425" s="11"/>
    </row>
    <row r="2426" spans="8:16" x14ac:dyDescent="0.25">
      <c r="H2426" s="12"/>
      <c r="I2426" s="12"/>
      <c r="J2426" s="12"/>
      <c r="K2426" s="12"/>
      <c r="L2426" s="12"/>
      <c r="M2426" s="11"/>
      <c r="N2426" s="11"/>
      <c r="O2426" s="11"/>
      <c r="P2426" s="11"/>
    </row>
    <row r="2427" spans="8:16" x14ac:dyDescent="0.25">
      <c r="H2427" s="12"/>
      <c r="I2427" s="12"/>
      <c r="J2427" s="12"/>
      <c r="K2427" s="12"/>
      <c r="L2427" s="12"/>
      <c r="M2427" s="11"/>
      <c r="N2427" s="11"/>
      <c r="O2427" s="11"/>
      <c r="P2427" s="11"/>
    </row>
    <row r="2428" spans="8:16" x14ac:dyDescent="0.25">
      <c r="H2428" s="12"/>
      <c r="I2428" s="12"/>
      <c r="J2428" s="12"/>
      <c r="K2428" s="12"/>
      <c r="L2428" s="12"/>
      <c r="M2428" s="11"/>
      <c r="N2428" s="11"/>
      <c r="O2428" s="11"/>
      <c r="P2428" s="11"/>
    </row>
    <row r="2429" spans="8:16" x14ac:dyDescent="0.25">
      <c r="H2429" s="12"/>
      <c r="I2429" s="12"/>
      <c r="J2429" s="12"/>
      <c r="K2429" s="12"/>
      <c r="L2429" s="12"/>
      <c r="M2429" s="11"/>
      <c r="N2429" s="11"/>
      <c r="O2429" s="11"/>
      <c r="P2429" s="11"/>
    </row>
    <row r="2430" spans="8:16" x14ac:dyDescent="0.25">
      <c r="H2430" s="12"/>
      <c r="I2430" s="12"/>
      <c r="J2430" s="12"/>
      <c r="K2430" s="12"/>
      <c r="L2430" s="12"/>
      <c r="M2430" s="11"/>
      <c r="N2430" s="11"/>
      <c r="O2430" s="11"/>
      <c r="P2430" s="11"/>
    </row>
    <row r="2431" spans="8:16" x14ac:dyDescent="0.25">
      <c r="H2431" s="12"/>
      <c r="I2431" s="12"/>
      <c r="J2431" s="12"/>
      <c r="K2431" s="12"/>
      <c r="L2431" s="12"/>
      <c r="M2431" s="11"/>
      <c r="N2431" s="11"/>
      <c r="O2431" s="11"/>
      <c r="P2431" s="11"/>
    </row>
    <row r="2432" spans="8:16" x14ac:dyDescent="0.25">
      <c r="H2432" s="12"/>
      <c r="I2432" s="12"/>
      <c r="J2432" s="12"/>
      <c r="K2432" s="12"/>
      <c r="L2432" s="12"/>
      <c r="M2432" s="11"/>
      <c r="N2432" s="11"/>
      <c r="O2432" s="11"/>
      <c r="P2432" s="11"/>
    </row>
    <row r="2433" spans="8:16" x14ac:dyDescent="0.25">
      <c r="H2433" s="12"/>
      <c r="I2433" s="12"/>
      <c r="J2433" s="12"/>
      <c r="K2433" s="12"/>
      <c r="L2433" s="12"/>
      <c r="M2433" s="11"/>
      <c r="N2433" s="11"/>
      <c r="O2433" s="11"/>
      <c r="P2433" s="11"/>
    </row>
    <row r="2434" spans="8:16" x14ac:dyDescent="0.25">
      <c r="H2434" s="12"/>
      <c r="I2434" s="12"/>
      <c r="J2434" s="12"/>
      <c r="K2434" s="12"/>
      <c r="L2434" s="12"/>
      <c r="M2434" s="11"/>
      <c r="N2434" s="11"/>
      <c r="O2434" s="11"/>
      <c r="P2434" s="11"/>
    </row>
    <row r="2435" spans="8:16" x14ac:dyDescent="0.25">
      <c r="H2435" s="12"/>
      <c r="I2435" s="12"/>
      <c r="J2435" s="12"/>
      <c r="K2435" s="12"/>
      <c r="L2435" s="12"/>
      <c r="M2435" s="11"/>
      <c r="N2435" s="11"/>
      <c r="O2435" s="11"/>
      <c r="P2435" s="11"/>
    </row>
    <row r="2436" spans="8:16" x14ac:dyDescent="0.25">
      <c r="H2436" s="12"/>
      <c r="I2436" s="12"/>
      <c r="J2436" s="12"/>
      <c r="K2436" s="12"/>
      <c r="L2436" s="12"/>
      <c r="M2436" s="11"/>
      <c r="N2436" s="11"/>
      <c r="O2436" s="11"/>
      <c r="P2436" s="11"/>
    </row>
    <row r="2437" spans="8:16" x14ac:dyDescent="0.25">
      <c r="H2437" s="12"/>
      <c r="I2437" s="12"/>
      <c r="J2437" s="12"/>
      <c r="K2437" s="12"/>
      <c r="L2437" s="12"/>
      <c r="M2437" s="11"/>
      <c r="N2437" s="11"/>
      <c r="O2437" s="11"/>
      <c r="P2437" s="11"/>
    </row>
    <row r="2438" spans="8:16" x14ac:dyDescent="0.25">
      <c r="H2438" s="12"/>
      <c r="I2438" s="12"/>
      <c r="J2438" s="12"/>
      <c r="K2438" s="12"/>
      <c r="L2438" s="12"/>
      <c r="M2438" s="11"/>
      <c r="N2438" s="11"/>
      <c r="O2438" s="11"/>
      <c r="P2438" s="11"/>
    </row>
    <row r="2439" spans="8:16" x14ac:dyDescent="0.25">
      <c r="H2439" s="12"/>
      <c r="I2439" s="12"/>
      <c r="J2439" s="12"/>
      <c r="K2439" s="12"/>
      <c r="L2439" s="12"/>
      <c r="M2439" s="11"/>
      <c r="N2439" s="11"/>
      <c r="O2439" s="11"/>
      <c r="P2439" s="11"/>
    </row>
    <row r="2440" spans="8:16" x14ac:dyDescent="0.25">
      <c r="H2440" s="12"/>
      <c r="I2440" s="12"/>
      <c r="J2440" s="12"/>
      <c r="K2440" s="12"/>
      <c r="L2440" s="12"/>
      <c r="M2440" s="11"/>
      <c r="N2440" s="11"/>
      <c r="O2440" s="11"/>
      <c r="P2440" s="11"/>
    </row>
    <row r="2441" spans="8:16" x14ac:dyDescent="0.25">
      <c r="H2441" s="12"/>
      <c r="I2441" s="12"/>
      <c r="J2441" s="12"/>
      <c r="K2441" s="12"/>
      <c r="L2441" s="12"/>
      <c r="M2441" s="11"/>
      <c r="N2441" s="11"/>
      <c r="O2441" s="11"/>
      <c r="P2441" s="11"/>
    </row>
    <row r="2442" spans="8:16" x14ac:dyDescent="0.25">
      <c r="H2442" s="12"/>
      <c r="I2442" s="12"/>
      <c r="J2442" s="12"/>
      <c r="K2442" s="12"/>
      <c r="L2442" s="12"/>
      <c r="M2442" s="11"/>
      <c r="N2442" s="11"/>
      <c r="O2442" s="11"/>
      <c r="P2442" s="11"/>
    </row>
    <row r="2443" spans="8:16" x14ac:dyDescent="0.25">
      <c r="H2443" s="12"/>
      <c r="I2443" s="12"/>
      <c r="J2443" s="12"/>
      <c r="K2443" s="12"/>
      <c r="L2443" s="12"/>
      <c r="M2443" s="11"/>
      <c r="N2443" s="11"/>
      <c r="O2443" s="11"/>
      <c r="P2443" s="11"/>
    </row>
    <row r="2444" spans="8:16" x14ac:dyDescent="0.25">
      <c r="H2444" s="12"/>
      <c r="I2444" s="12"/>
      <c r="J2444" s="12"/>
      <c r="K2444" s="12"/>
      <c r="L2444" s="12"/>
      <c r="M2444" s="11"/>
      <c r="N2444" s="11"/>
      <c r="O2444" s="11"/>
      <c r="P2444" s="11"/>
    </row>
    <row r="2445" spans="8:16" x14ac:dyDescent="0.25">
      <c r="H2445" s="12"/>
      <c r="I2445" s="12"/>
      <c r="J2445" s="12"/>
      <c r="K2445" s="12"/>
      <c r="L2445" s="12"/>
      <c r="M2445" s="11"/>
      <c r="N2445" s="11"/>
      <c r="O2445" s="11"/>
      <c r="P2445" s="11"/>
    </row>
    <row r="2446" spans="8:16" x14ac:dyDescent="0.25">
      <c r="H2446" s="12"/>
      <c r="I2446" s="12"/>
      <c r="J2446" s="12"/>
      <c r="K2446" s="12"/>
      <c r="L2446" s="12"/>
      <c r="M2446" s="11"/>
      <c r="N2446" s="11"/>
      <c r="O2446" s="11"/>
      <c r="P2446" s="11"/>
    </row>
    <row r="2447" spans="8:16" x14ac:dyDescent="0.25">
      <c r="H2447" s="12"/>
      <c r="I2447" s="12"/>
      <c r="J2447" s="12"/>
      <c r="K2447" s="12"/>
      <c r="L2447" s="12"/>
      <c r="M2447" s="11"/>
      <c r="N2447" s="11"/>
      <c r="O2447" s="11"/>
      <c r="P2447" s="11"/>
    </row>
    <row r="2448" spans="8:16" x14ac:dyDescent="0.25">
      <c r="H2448" s="12"/>
      <c r="I2448" s="12"/>
      <c r="J2448" s="12"/>
      <c r="K2448" s="12"/>
      <c r="L2448" s="12"/>
      <c r="M2448" s="11"/>
      <c r="N2448" s="11"/>
      <c r="O2448" s="11"/>
      <c r="P2448" s="11"/>
    </row>
    <row r="2449" spans="8:16" x14ac:dyDescent="0.25">
      <c r="H2449" s="12"/>
      <c r="I2449" s="12"/>
      <c r="J2449" s="12"/>
      <c r="K2449" s="12"/>
      <c r="L2449" s="12"/>
      <c r="M2449" s="11"/>
      <c r="N2449" s="11"/>
      <c r="O2449" s="11"/>
      <c r="P2449" s="11"/>
    </row>
    <row r="2450" spans="8:16" x14ac:dyDescent="0.25">
      <c r="H2450" s="12"/>
      <c r="I2450" s="12"/>
      <c r="J2450" s="12"/>
      <c r="K2450" s="12"/>
      <c r="L2450" s="12"/>
      <c r="M2450" s="11"/>
      <c r="N2450" s="11"/>
      <c r="O2450" s="11"/>
      <c r="P2450" s="11"/>
    </row>
    <row r="2451" spans="8:16" x14ac:dyDescent="0.25">
      <c r="H2451" s="12"/>
      <c r="I2451" s="12"/>
      <c r="J2451" s="12"/>
      <c r="K2451" s="12"/>
      <c r="L2451" s="12"/>
      <c r="M2451" s="11"/>
      <c r="N2451" s="11"/>
      <c r="O2451" s="11"/>
      <c r="P2451" s="11"/>
    </row>
    <row r="2452" spans="8:16" x14ac:dyDescent="0.25">
      <c r="H2452" s="12"/>
      <c r="I2452" s="12"/>
      <c r="J2452" s="12"/>
      <c r="K2452" s="12"/>
      <c r="L2452" s="12"/>
      <c r="M2452" s="11"/>
      <c r="N2452" s="11"/>
      <c r="O2452" s="11"/>
      <c r="P2452" s="11"/>
    </row>
    <row r="2453" spans="8:16" x14ac:dyDescent="0.25">
      <c r="H2453" s="12"/>
      <c r="I2453" s="12"/>
      <c r="J2453" s="12"/>
      <c r="K2453" s="12"/>
      <c r="L2453" s="12"/>
      <c r="M2453" s="11"/>
      <c r="N2453" s="11"/>
      <c r="O2453" s="11"/>
      <c r="P2453" s="11"/>
    </row>
    <row r="2454" spans="8:16" x14ac:dyDescent="0.25">
      <c r="H2454" s="12"/>
      <c r="I2454" s="12"/>
      <c r="J2454" s="12"/>
      <c r="K2454" s="12"/>
      <c r="L2454" s="12"/>
      <c r="M2454" s="11"/>
      <c r="N2454" s="11"/>
      <c r="O2454" s="11"/>
      <c r="P2454" s="11"/>
    </row>
    <row r="2455" spans="8:16" x14ac:dyDescent="0.25">
      <c r="H2455" s="12"/>
      <c r="I2455" s="12"/>
      <c r="J2455" s="12"/>
      <c r="K2455" s="12"/>
      <c r="L2455" s="12"/>
      <c r="M2455" s="11"/>
      <c r="N2455" s="11"/>
      <c r="O2455" s="11"/>
      <c r="P2455" s="11"/>
    </row>
    <row r="2456" spans="8:16" x14ac:dyDescent="0.25">
      <c r="H2456" s="12"/>
      <c r="I2456" s="12"/>
      <c r="J2456" s="12"/>
      <c r="K2456" s="12"/>
      <c r="L2456" s="12"/>
      <c r="M2456" s="11"/>
      <c r="N2456" s="11"/>
      <c r="O2456" s="11"/>
      <c r="P2456" s="11"/>
    </row>
    <row r="2457" spans="8:16" x14ac:dyDescent="0.25">
      <c r="H2457" s="12"/>
      <c r="I2457" s="12"/>
      <c r="J2457" s="12"/>
      <c r="K2457" s="12"/>
      <c r="L2457" s="12"/>
      <c r="M2457" s="11"/>
      <c r="N2457" s="11"/>
      <c r="O2457" s="11"/>
      <c r="P2457" s="11"/>
    </row>
    <row r="2458" spans="8:16" x14ac:dyDescent="0.25">
      <c r="H2458" s="12"/>
      <c r="I2458" s="12"/>
      <c r="J2458" s="12"/>
      <c r="K2458" s="12"/>
      <c r="L2458" s="12"/>
      <c r="M2458" s="11"/>
      <c r="N2458" s="11"/>
      <c r="O2458" s="11"/>
      <c r="P2458" s="11"/>
    </row>
    <row r="2459" spans="8:16" x14ac:dyDescent="0.25">
      <c r="H2459" s="12"/>
      <c r="I2459" s="12"/>
      <c r="J2459" s="12"/>
      <c r="K2459" s="12"/>
      <c r="L2459" s="12"/>
      <c r="M2459" s="11"/>
      <c r="N2459" s="11"/>
      <c r="O2459" s="11"/>
      <c r="P2459" s="11"/>
    </row>
    <row r="2460" spans="8:16" x14ac:dyDescent="0.25">
      <c r="H2460" s="12"/>
      <c r="I2460" s="12"/>
      <c r="J2460" s="12"/>
      <c r="K2460" s="12"/>
      <c r="L2460" s="12"/>
      <c r="M2460" s="11"/>
      <c r="N2460" s="11"/>
      <c r="O2460" s="11"/>
      <c r="P2460" s="11"/>
    </row>
    <row r="2461" spans="8:16" x14ac:dyDescent="0.25">
      <c r="H2461" s="12"/>
      <c r="I2461" s="12"/>
      <c r="J2461" s="12"/>
      <c r="K2461" s="12"/>
      <c r="L2461" s="12"/>
      <c r="M2461" s="11"/>
      <c r="N2461" s="11"/>
      <c r="O2461" s="11"/>
      <c r="P2461" s="11"/>
    </row>
    <row r="2462" spans="8:16" x14ac:dyDescent="0.25">
      <c r="H2462" s="12"/>
      <c r="I2462" s="12"/>
      <c r="J2462" s="12"/>
      <c r="K2462" s="12"/>
      <c r="L2462" s="12"/>
      <c r="M2462" s="11"/>
      <c r="N2462" s="11"/>
      <c r="O2462" s="11"/>
      <c r="P2462" s="11"/>
    </row>
    <row r="2463" spans="8:16" x14ac:dyDescent="0.25">
      <c r="H2463" s="12"/>
      <c r="I2463" s="12"/>
      <c r="J2463" s="12"/>
      <c r="K2463" s="12"/>
      <c r="L2463" s="12"/>
      <c r="M2463" s="11"/>
      <c r="N2463" s="11"/>
      <c r="O2463" s="11"/>
      <c r="P2463" s="11"/>
    </row>
    <row r="2464" spans="8:16" x14ac:dyDescent="0.25">
      <c r="H2464" s="12"/>
      <c r="I2464" s="12"/>
      <c r="J2464" s="12"/>
      <c r="K2464" s="12"/>
      <c r="L2464" s="12"/>
      <c r="M2464" s="11"/>
      <c r="N2464" s="11"/>
      <c r="O2464" s="11"/>
      <c r="P2464" s="11"/>
    </row>
    <row r="2465" spans="8:16" x14ac:dyDescent="0.25">
      <c r="H2465" s="12"/>
      <c r="I2465" s="12"/>
      <c r="J2465" s="12"/>
      <c r="K2465" s="12"/>
      <c r="L2465" s="12"/>
      <c r="M2465" s="11"/>
      <c r="N2465" s="11"/>
      <c r="O2465" s="11"/>
      <c r="P2465" s="11"/>
    </row>
    <row r="2466" spans="8:16" x14ac:dyDescent="0.25">
      <c r="H2466" s="12"/>
      <c r="I2466" s="12"/>
      <c r="J2466" s="12"/>
      <c r="K2466" s="12"/>
      <c r="L2466" s="12"/>
      <c r="M2466" s="11"/>
      <c r="N2466" s="11"/>
      <c r="O2466" s="11"/>
      <c r="P2466" s="11"/>
    </row>
    <row r="2467" spans="8:16" x14ac:dyDescent="0.25">
      <c r="H2467" s="12"/>
      <c r="I2467" s="12"/>
      <c r="J2467" s="12"/>
      <c r="K2467" s="12"/>
      <c r="L2467" s="12"/>
      <c r="M2467" s="11"/>
      <c r="N2467" s="11"/>
      <c r="O2467" s="11"/>
      <c r="P2467" s="11"/>
    </row>
    <row r="2468" spans="8:16" x14ac:dyDescent="0.25">
      <c r="H2468" s="12"/>
      <c r="I2468" s="12"/>
      <c r="J2468" s="12"/>
      <c r="K2468" s="12"/>
      <c r="L2468" s="12"/>
      <c r="M2468" s="11"/>
      <c r="N2468" s="11"/>
      <c r="O2468" s="11"/>
      <c r="P2468" s="11"/>
    </row>
    <row r="2469" spans="8:16" x14ac:dyDescent="0.25">
      <c r="H2469" s="12"/>
      <c r="I2469" s="12"/>
      <c r="J2469" s="12"/>
      <c r="K2469" s="12"/>
      <c r="L2469" s="12"/>
      <c r="M2469" s="11"/>
      <c r="N2469" s="11"/>
      <c r="O2469" s="11"/>
      <c r="P2469" s="11"/>
    </row>
    <row r="2470" spans="8:16" x14ac:dyDescent="0.25">
      <c r="H2470" s="12"/>
      <c r="I2470" s="12"/>
      <c r="J2470" s="12"/>
      <c r="K2470" s="12"/>
      <c r="L2470" s="12"/>
      <c r="M2470" s="11"/>
      <c r="N2470" s="11"/>
      <c r="O2470" s="11"/>
      <c r="P2470" s="11"/>
    </row>
    <row r="2471" spans="8:16" x14ac:dyDescent="0.25">
      <c r="H2471" s="12"/>
      <c r="I2471" s="12"/>
      <c r="J2471" s="12"/>
      <c r="K2471" s="12"/>
      <c r="L2471" s="12"/>
      <c r="M2471" s="11"/>
      <c r="N2471" s="11"/>
      <c r="O2471" s="11"/>
      <c r="P2471" s="11"/>
    </row>
    <row r="2472" spans="8:16" x14ac:dyDescent="0.25">
      <c r="H2472" s="12"/>
      <c r="I2472" s="12"/>
      <c r="J2472" s="12"/>
      <c r="K2472" s="12"/>
      <c r="L2472" s="12"/>
      <c r="M2472" s="11"/>
      <c r="N2472" s="11"/>
      <c r="O2472" s="11"/>
      <c r="P2472" s="11"/>
    </row>
    <row r="2473" spans="8:16" x14ac:dyDescent="0.25">
      <c r="H2473" s="12"/>
      <c r="I2473" s="12"/>
      <c r="J2473" s="12"/>
      <c r="K2473" s="12"/>
      <c r="L2473" s="12"/>
      <c r="M2473" s="11"/>
      <c r="N2473" s="11"/>
      <c r="O2473" s="11"/>
      <c r="P2473" s="11"/>
    </row>
    <row r="2474" spans="8:16" x14ac:dyDescent="0.25">
      <c r="H2474" s="12"/>
      <c r="I2474" s="12"/>
      <c r="J2474" s="12"/>
      <c r="K2474" s="12"/>
      <c r="L2474" s="12"/>
      <c r="M2474" s="11"/>
      <c r="N2474" s="11"/>
      <c r="O2474" s="11"/>
      <c r="P2474" s="11"/>
    </row>
    <row r="2475" spans="8:16" x14ac:dyDescent="0.25">
      <c r="H2475" s="12"/>
      <c r="I2475" s="12"/>
      <c r="J2475" s="12"/>
      <c r="K2475" s="12"/>
      <c r="L2475" s="12"/>
      <c r="M2475" s="11"/>
      <c r="N2475" s="11"/>
      <c r="O2475" s="11"/>
      <c r="P2475" s="11"/>
    </row>
    <row r="2476" spans="8:16" x14ac:dyDescent="0.25">
      <c r="H2476" s="12"/>
      <c r="I2476" s="12"/>
      <c r="J2476" s="12"/>
      <c r="K2476" s="12"/>
      <c r="L2476" s="12"/>
      <c r="M2476" s="11"/>
      <c r="N2476" s="11"/>
      <c r="O2476" s="11"/>
      <c r="P2476" s="11"/>
    </row>
    <row r="2477" spans="8:16" x14ac:dyDescent="0.25">
      <c r="H2477" s="12"/>
      <c r="I2477" s="12"/>
      <c r="J2477" s="12"/>
      <c r="K2477" s="12"/>
      <c r="L2477" s="12"/>
      <c r="M2477" s="11"/>
      <c r="N2477" s="11"/>
      <c r="O2477" s="11"/>
      <c r="P2477" s="11"/>
    </row>
    <row r="2478" spans="8:16" x14ac:dyDescent="0.25">
      <c r="H2478" s="12"/>
      <c r="I2478" s="12"/>
      <c r="J2478" s="12"/>
      <c r="K2478" s="12"/>
      <c r="L2478" s="12"/>
      <c r="M2478" s="11"/>
      <c r="N2478" s="11"/>
      <c r="O2478" s="11"/>
      <c r="P2478" s="11"/>
    </row>
    <row r="2479" spans="8:16" x14ac:dyDescent="0.25">
      <c r="H2479" s="12"/>
      <c r="I2479" s="12"/>
      <c r="J2479" s="12"/>
      <c r="K2479" s="12"/>
      <c r="L2479" s="12"/>
      <c r="M2479" s="11"/>
      <c r="N2479" s="11"/>
      <c r="O2479" s="11"/>
      <c r="P2479" s="11"/>
    </row>
    <row r="2480" spans="8:16" x14ac:dyDescent="0.25">
      <c r="H2480" s="12"/>
      <c r="I2480" s="12"/>
      <c r="J2480" s="12"/>
      <c r="K2480" s="12"/>
      <c r="L2480" s="12"/>
      <c r="M2480" s="11"/>
      <c r="N2480" s="11"/>
      <c r="O2480" s="11"/>
      <c r="P2480" s="11"/>
    </row>
    <row r="2481" spans="8:16" x14ac:dyDescent="0.25">
      <c r="H2481" s="12"/>
      <c r="I2481" s="12"/>
      <c r="J2481" s="12"/>
      <c r="K2481" s="12"/>
      <c r="L2481" s="12"/>
      <c r="M2481" s="11"/>
      <c r="N2481" s="11"/>
      <c r="O2481" s="11"/>
      <c r="P2481" s="11"/>
    </row>
    <row r="2482" spans="8:16" x14ac:dyDescent="0.25">
      <c r="H2482" s="12"/>
      <c r="I2482" s="12"/>
      <c r="J2482" s="12"/>
      <c r="K2482" s="12"/>
      <c r="L2482" s="12"/>
      <c r="M2482" s="11"/>
      <c r="N2482" s="11"/>
      <c r="O2482" s="11"/>
      <c r="P2482" s="11"/>
    </row>
    <row r="2483" spans="8:16" x14ac:dyDescent="0.25">
      <c r="H2483" s="12"/>
      <c r="I2483" s="12"/>
      <c r="J2483" s="12"/>
      <c r="K2483" s="12"/>
      <c r="L2483" s="12"/>
      <c r="M2483" s="11"/>
      <c r="N2483" s="11"/>
      <c r="O2483" s="11"/>
      <c r="P2483" s="11"/>
    </row>
    <row r="2484" spans="8:16" x14ac:dyDescent="0.25">
      <c r="H2484" s="12"/>
      <c r="I2484" s="12"/>
      <c r="J2484" s="12"/>
      <c r="K2484" s="12"/>
      <c r="L2484" s="12"/>
      <c r="M2484" s="11"/>
      <c r="N2484" s="11"/>
      <c r="O2484" s="11"/>
      <c r="P2484" s="11"/>
    </row>
    <row r="2485" spans="8:16" x14ac:dyDescent="0.25">
      <c r="H2485" s="12"/>
      <c r="I2485" s="12"/>
      <c r="J2485" s="12"/>
      <c r="K2485" s="12"/>
      <c r="L2485" s="12"/>
      <c r="M2485" s="11"/>
      <c r="N2485" s="11"/>
      <c r="O2485" s="11"/>
      <c r="P2485" s="11"/>
    </row>
    <row r="2486" spans="8:16" x14ac:dyDescent="0.25">
      <c r="H2486" s="12"/>
      <c r="I2486" s="12"/>
      <c r="J2486" s="12"/>
      <c r="K2486" s="12"/>
      <c r="L2486" s="12"/>
      <c r="M2486" s="11"/>
      <c r="N2486" s="11"/>
      <c r="O2486" s="11"/>
      <c r="P2486" s="11"/>
    </row>
    <row r="2487" spans="8:16" x14ac:dyDescent="0.25">
      <c r="H2487" s="12"/>
      <c r="I2487" s="12"/>
      <c r="J2487" s="12"/>
      <c r="K2487" s="12"/>
      <c r="L2487" s="12"/>
      <c r="M2487" s="11"/>
      <c r="N2487" s="11"/>
      <c r="O2487" s="11"/>
      <c r="P2487" s="11"/>
    </row>
    <row r="2488" spans="8:16" x14ac:dyDescent="0.25">
      <c r="H2488" s="12"/>
      <c r="I2488" s="12"/>
      <c r="J2488" s="12"/>
      <c r="K2488" s="12"/>
      <c r="L2488" s="12"/>
      <c r="M2488" s="11"/>
      <c r="N2488" s="11"/>
      <c r="O2488" s="11"/>
      <c r="P2488" s="11"/>
    </row>
    <row r="2489" spans="8:16" x14ac:dyDescent="0.25">
      <c r="H2489" s="12"/>
      <c r="I2489" s="12"/>
      <c r="J2489" s="12"/>
      <c r="K2489" s="12"/>
      <c r="L2489" s="12"/>
      <c r="M2489" s="11"/>
      <c r="N2489" s="11"/>
      <c r="O2489" s="11"/>
      <c r="P2489" s="11"/>
    </row>
    <row r="2490" spans="8:16" x14ac:dyDescent="0.25">
      <c r="H2490" s="12"/>
      <c r="I2490" s="12"/>
      <c r="J2490" s="12"/>
      <c r="K2490" s="12"/>
      <c r="L2490" s="12"/>
      <c r="M2490" s="11"/>
      <c r="N2490" s="11"/>
      <c r="O2490" s="11"/>
      <c r="P2490" s="11"/>
    </row>
    <row r="2491" spans="8:16" x14ac:dyDescent="0.25">
      <c r="H2491" s="12"/>
      <c r="I2491" s="12"/>
      <c r="J2491" s="12"/>
      <c r="K2491" s="12"/>
      <c r="L2491" s="12"/>
      <c r="M2491" s="11"/>
      <c r="N2491" s="11"/>
      <c r="O2491" s="11"/>
      <c r="P2491" s="11"/>
    </row>
    <row r="2492" spans="8:16" x14ac:dyDescent="0.25">
      <c r="H2492" s="12"/>
      <c r="I2492" s="12"/>
      <c r="J2492" s="12"/>
      <c r="K2492" s="12"/>
      <c r="L2492" s="12"/>
      <c r="M2492" s="11"/>
      <c r="N2492" s="11"/>
      <c r="O2492" s="11"/>
      <c r="P2492" s="11"/>
    </row>
    <row r="2493" spans="8:16" x14ac:dyDescent="0.25">
      <c r="H2493" s="12"/>
      <c r="I2493" s="12"/>
      <c r="J2493" s="12"/>
      <c r="K2493" s="12"/>
      <c r="L2493" s="12"/>
      <c r="M2493" s="11"/>
      <c r="N2493" s="11"/>
      <c r="O2493" s="11"/>
      <c r="P2493" s="11"/>
    </row>
    <row r="2494" spans="8:16" x14ac:dyDescent="0.25">
      <c r="H2494" s="12"/>
      <c r="I2494" s="12"/>
      <c r="J2494" s="12"/>
      <c r="K2494" s="12"/>
      <c r="L2494" s="12"/>
      <c r="M2494" s="11"/>
      <c r="N2494" s="11"/>
      <c r="O2494" s="11"/>
      <c r="P2494" s="11"/>
    </row>
    <row r="2495" spans="8:16" x14ac:dyDescent="0.25">
      <c r="H2495" s="12"/>
      <c r="I2495" s="12"/>
      <c r="J2495" s="12"/>
      <c r="K2495" s="12"/>
      <c r="L2495" s="12"/>
      <c r="M2495" s="11"/>
      <c r="N2495" s="11"/>
      <c r="O2495" s="11"/>
      <c r="P2495" s="11"/>
    </row>
    <row r="2496" spans="8:16" x14ac:dyDescent="0.25">
      <c r="H2496" s="12"/>
      <c r="I2496" s="12"/>
      <c r="J2496" s="12"/>
      <c r="K2496" s="12"/>
      <c r="L2496" s="12"/>
      <c r="M2496" s="11"/>
      <c r="N2496" s="11"/>
      <c r="O2496" s="11"/>
      <c r="P2496" s="11"/>
    </row>
    <row r="2497" spans="8:16" x14ac:dyDescent="0.25">
      <c r="H2497" s="12"/>
      <c r="I2497" s="12"/>
      <c r="J2497" s="12"/>
      <c r="K2497" s="12"/>
      <c r="L2497" s="12"/>
      <c r="M2497" s="11"/>
      <c r="N2497" s="11"/>
      <c r="O2497" s="11"/>
      <c r="P2497" s="11"/>
    </row>
    <row r="2498" spans="8:16" x14ac:dyDescent="0.25">
      <c r="H2498" s="12"/>
      <c r="I2498" s="12"/>
      <c r="J2498" s="12"/>
      <c r="K2498" s="12"/>
      <c r="L2498" s="12"/>
      <c r="M2498" s="11"/>
      <c r="N2498" s="11"/>
      <c r="O2498" s="11"/>
      <c r="P2498" s="11"/>
    </row>
    <row r="2499" spans="8:16" x14ac:dyDescent="0.25">
      <c r="H2499" s="12"/>
      <c r="I2499" s="12"/>
      <c r="J2499" s="12"/>
      <c r="K2499" s="12"/>
      <c r="L2499" s="12"/>
      <c r="M2499" s="11"/>
      <c r="N2499" s="11"/>
      <c r="O2499" s="11"/>
      <c r="P2499" s="11"/>
    </row>
    <row r="2500" spans="8:16" x14ac:dyDescent="0.25">
      <c r="H2500" s="12"/>
      <c r="I2500" s="12"/>
      <c r="J2500" s="12"/>
      <c r="K2500" s="12"/>
      <c r="L2500" s="12"/>
      <c r="M2500" s="11"/>
      <c r="N2500" s="11"/>
      <c r="O2500" s="11"/>
      <c r="P2500" s="11"/>
    </row>
    <row r="2501" spans="8:16" x14ac:dyDescent="0.25">
      <c r="H2501" s="12"/>
      <c r="I2501" s="12"/>
      <c r="J2501" s="12"/>
      <c r="K2501" s="12"/>
      <c r="L2501" s="12"/>
      <c r="M2501" s="11"/>
      <c r="N2501" s="11"/>
      <c r="O2501" s="11"/>
      <c r="P2501" s="11"/>
    </row>
    <row r="2502" spans="8:16" x14ac:dyDescent="0.25">
      <c r="H2502" s="12"/>
      <c r="I2502" s="12"/>
      <c r="J2502" s="12"/>
      <c r="K2502" s="12"/>
      <c r="L2502" s="12"/>
      <c r="M2502" s="11"/>
      <c r="N2502" s="11"/>
      <c r="O2502" s="11"/>
      <c r="P2502" s="11"/>
    </row>
    <row r="2503" spans="8:16" x14ac:dyDescent="0.25">
      <c r="H2503" s="12"/>
      <c r="I2503" s="12"/>
      <c r="J2503" s="12"/>
      <c r="K2503" s="12"/>
      <c r="L2503" s="12"/>
      <c r="M2503" s="11"/>
      <c r="N2503" s="11"/>
      <c r="O2503" s="11"/>
      <c r="P2503" s="11"/>
    </row>
    <row r="2504" spans="8:16" x14ac:dyDescent="0.25">
      <c r="H2504" s="12"/>
      <c r="I2504" s="12"/>
      <c r="J2504" s="12"/>
      <c r="K2504" s="12"/>
      <c r="L2504" s="12"/>
      <c r="M2504" s="11"/>
      <c r="N2504" s="11"/>
      <c r="O2504" s="11"/>
      <c r="P2504" s="11"/>
    </row>
    <row r="2505" spans="8:16" x14ac:dyDescent="0.25">
      <c r="H2505" s="12"/>
      <c r="I2505" s="12"/>
      <c r="J2505" s="12"/>
      <c r="K2505" s="12"/>
      <c r="L2505" s="12"/>
      <c r="M2505" s="11"/>
      <c r="N2505" s="11"/>
      <c r="O2505" s="11"/>
      <c r="P2505" s="11"/>
    </row>
    <row r="2506" spans="8:16" x14ac:dyDescent="0.25">
      <c r="H2506" s="12"/>
      <c r="I2506" s="12"/>
      <c r="J2506" s="12"/>
      <c r="K2506" s="12"/>
      <c r="L2506" s="12"/>
      <c r="M2506" s="11"/>
      <c r="N2506" s="11"/>
      <c r="O2506" s="11"/>
      <c r="P2506" s="11"/>
    </row>
    <row r="2507" spans="8:16" x14ac:dyDescent="0.25">
      <c r="H2507" s="12"/>
      <c r="I2507" s="12"/>
      <c r="J2507" s="12"/>
      <c r="K2507" s="12"/>
      <c r="L2507" s="12"/>
      <c r="M2507" s="11"/>
      <c r="N2507" s="11"/>
      <c r="O2507" s="11"/>
      <c r="P2507" s="11"/>
    </row>
    <row r="2508" spans="8:16" x14ac:dyDescent="0.25">
      <c r="H2508" s="12"/>
      <c r="I2508" s="12"/>
      <c r="J2508" s="12"/>
      <c r="K2508" s="12"/>
      <c r="L2508" s="12"/>
      <c r="M2508" s="11"/>
      <c r="N2508" s="11"/>
      <c r="O2508" s="11"/>
      <c r="P2508" s="11"/>
    </row>
    <row r="2509" spans="8:16" x14ac:dyDescent="0.25">
      <c r="H2509" s="12"/>
      <c r="I2509" s="12"/>
      <c r="J2509" s="12"/>
      <c r="K2509" s="12"/>
      <c r="L2509" s="12"/>
      <c r="M2509" s="11"/>
      <c r="N2509" s="11"/>
      <c r="O2509" s="11"/>
      <c r="P2509" s="11"/>
    </row>
    <row r="2510" spans="8:16" x14ac:dyDescent="0.25">
      <c r="H2510" s="12"/>
      <c r="I2510" s="12"/>
      <c r="J2510" s="12"/>
      <c r="K2510" s="12"/>
      <c r="L2510" s="12"/>
      <c r="M2510" s="11"/>
      <c r="N2510" s="11"/>
      <c r="O2510" s="11"/>
      <c r="P2510" s="11"/>
    </row>
    <row r="2511" spans="8:16" x14ac:dyDescent="0.25">
      <c r="H2511" s="12"/>
      <c r="I2511" s="12"/>
      <c r="J2511" s="12"/>
      <c r="K2511" s="12"/>
      <c r="L2511" s="12"/>
      <c r="M2511" s="11"/>
      <c r="N2511" s="11"/>
      <c r="O2511" s="11"/>
      <c r="P2511" s="11"/>
    </row>
    <row r="2512" spans="8:16" x14ac:dyDescent="0.25">
      <c r="H2512" s="12"/>
      <c r="I2512" s="12"/>
      <c r="J2512" s="12"/>
      <c r="K2512" s="12"/>
      <c r="L2512" s="12"/>
      <c r="M2512" s="11"/>
      <c r="N2512" s="11"/>
      <c r="O2512" s="11"/>
      <c r="P2512" s="11"/>
    </row>
    <row r="2513" spans="8:16" x14ac:dyDescent="0.25">
      <c r="H2513" s="12"/>
      <c r="I2513" s="12"/>
      <c r="J2513" s="12"/>
      <c r="K2513" s="12"/>
      <c r="L2513" s="12"/>
      <c r="M2513" s="11"/>
      <c r="N2513" s="11"/>
      <c r="O2513" s="11"/>
      <c r="P2513" s="11"/>
    </row>
    <row r="2514" spans="8:16" x14ac:dyDescent="0.25">
      <c r="H2514" s="12"/>
      <c r="I2514" s="12"/>
      <c r="J2514" s="12"/>
      <c r="K2514" s="12"/>
      <c r="L2514" s="12"/>
      <c r="M2514" s="11"/>
      <c r="N2514" s="11"/>
      <c r="O2514" s="11"/>
      <c r="P2514" s="11"/>
    </row>
    <row r="2515" spans="8:16" x14ac:dyDescent="0.25">
      <c r="H2515" s="12"/>
      <c r="I2515" s="12"/>
      <c r="J2515" s="12"/>
      <c r="K2515" s="12"/>
      <c r="L2515" s="12"/>
      <c r="M2515" s="11"/>
      <c r="N2515" s="11"/>
      <c r="O2515" s="11"/>
      <c r="P2515" s="11"/>
    </row>
    <row r="2516" spans="8:16" x14ac:dyDescent="0.25">
      <c r="H2516" s="12"/>
      <c r="I2516" s="12"/>
      <c r="J2516" s="12"/>
      <c r="K2516" s="12"/>
      <c r="L2516" s="12"/>
      <c r="M2516" s="11"/>
      <c r="N2516" s="11"/>
      <c r="O2516" s="11"/>
      <c r="P2516" s="11"/>
    </row>
    <row r="2517" spans="8:16" x14ac:dyDescent="0.25">
      <c r="H2517" s="12"/>
      <c r="I2517" s="12"/>
      <c r="J2517" s="12"/>
      <c r="K2517" s="12"/>
      <c r="L2517" s="12"/>
      <c r="M2517" s="11"/>
      <c r="N2517" s="11"/>
      <c r="O2517" s="11"/>
      <c r="P2517" s="11"/>
    </row>
    <row r="2518" spans="8:16" x14ac:dyDescent="0.25">
      <c r="H2518" s="12"/>
      <c r="I2518" s="12"/>
      <c r="J2518" s="12"/>
      <c r="K2518" s="12"/>
      <c r="L2518" s="12"/>
      <c r="M2518" s="11"/>
      <c r="N2518" s="11"/>
      <c r="O2518" s="11"/>
      <c r="P2518" s="11"/>
    </row>
    <row r="2519" spans="8:16" x14ac:dyDescent="0.25">
      <c r="H2519" s="12"/>
      <c r="I2519" s="12"/>
      <c r="J2519" s="12"/>
      <c r="K2519" s="12"/>
      <c r="L2519" s="12"/>
      <c r="M2519" s="11"/>
      <c r="N2519" s="11"/>
      <c r="O2519" s="11"/>
      <c r="P2519" s="11"/>
    </row>
    <row r="2520" spans="8:16" x14ac:dyDescent="0.25">
      <c r="H2520" s="12"/>
      <c r="I2520" s="12"/>
      <c r="J2520" s="12"/>
      <c r="K2520" s="12"/>
      <c r="L2520" s="12"/>
      <c r="M2520" s="11"/>
      <c r="N2520" s="11"/>
      <c r="O2520" s="11"/>
      <c r="P2520" s="11"/>
    </row>
    <row r="2521" spans="8:16" x14ac:dyDescent="0.25">
      <c r="H2521" s="12"/>
      <c r="I2521" s="12"/>
      <c r="J2521" s="12"/>
      <c r="K2521" s="12"/>
      <c r="L2521" s="12"/>
      <c r="M2521" s="11"/>
      <c r="N2521" s="11"/>
      <c r="O2521" s="11"/>
      <c r="P2521" s="11"/>
    </row>
    <row r="2522" spans="8:16" x14ac:dyDescent="0.25">
      <c r="H2522" s="12"/>
      <c r="I2522" s="12"/>
      <c r="J2522" s="12"/>
      <c r="K2522" s="12"/>
      <c r="L2522" s="12"/>
      <c r="M2522" s="11"/>
      <c r="N2522" s="11"/>
      <c r="O2522" s="11"/>
      <c r="P2522" s="11"/>
    </row>
    <row r="2523" spans="8:16" x14ac:dyDescent="0.25">
      <c r="H2523" s="12"/>
      <c r="I2523" s="12"/>
      <c r="J2523" s="12"/>
      <c r="K2523" s="12"/>
      <c r="L2523" s="12"/>
      <c r="M2523" s="11"/>
      <c r="N2523" s="11"/>
      <c r="O2523" s="11"/>
      <c r="P2523" s="11"/>
    </row>
    <row r="2524" spans="8:16" x14ac:dyDescent="0.25">
      <c r="H2524" s="12"/>
      <c r="I2524" s="12"/>
      <c r="J2524" s="12"/>
      <c r="K2524" s="12"/>
      <c r="L2524" s="12"/>
      <c r="M2524" s="11"/>
      <c r="N2524" s="11"/>
      <c r="O2524" s="11"/>
      <c r="P2524" s="11"/>
    </row>
    <row r="2525" spans="8:16" x14ac:dyDescent="0.25">
      <c r="H2525" s="12"/>
      <c r="I2525" s="12"/>
      <c r="J2525" s="12"/>
      <c r="K2525" s="12"/>
      <c r="L2525" s="12"/>
      <c r="M2525" s="11"/>
      <c r="N2525" s="11"/>
      <c r="O2525" s="11"/>
      <c r="P2525" s="11"/>
    </row>
    <row r="2526" spans="8:16" x14ac:dyDescent="0.25">
      <c r="H2526" s="12"/>
      <c r="I2526" s="12"/>
      <c r="J2526" s="12"/>
      <c r="K2526" s="12"/>
      <c r="L2526" s="12"/>
      <c r="M2526" s="11"/>
      <c r="N2526" s="11"/>
      <c r="O2526" s="11"/>
      <c r="P2526" s="11"/>
    </row>
    <row r="2527" spans="8:16" x14ac:dyDescent="0.25">
      <c r="H2527" s="12"/>
      <c r="I2527" s="12"/>
      <c r="J2527" s="12"/>
      <c r="K2527" s="12"/>
      <c r="L2527" s="12"/>
      <c r="M2527" s="11"/>
      <c r="N2527" s="11"/>
      <c r="O2527" s="11"/>
      <c r="P2527" s="11"/>
    </row>
    <row r="2528" spans="8:16" x14ac:dyDescent="0.25">
      <c r="H2528" s="12"/>
      <c r="I2528" s="12"/>
      <c r="J2528" s="12"/>
      <c r="K2528" s="12"/>
      <c r="L2528" s="12"/>
      <c r="M2528" s="11"/>
      <c r="N2528" s="11"/>
      <c r="O2528" s="11"/>
      <c r="P2528" s="11"/>
    </row>
    <row r="2529" spans="8:16" x14ac:dyDescent="0.25">
      <c r="H2529" s="12"/>
      <c r="I2529" s="12"/>
      <c r="J2529" s="12"/>
      <c r="K2529" s="12"/>
      <c r="L2529" s="12"/>
      <c r="M2529" s="11"/>
      <c r="N2529" s="11"/>
      <c r="O2529" s="11"/>
      <c r="P2529" s="11"/>
    </row>
    <row r="2530" spans="8:16" x14ac:dyDescent="0.25">
      <c r="H2530" s="12"/>
      <c r="I2530" s="12"/>
      <c r="J2530" s="12"/>
      <c r="K2530" s="12"/>
      <c r="L2530" s="12"/>
      <c r="M2530" s="11"/>
      <c r="N2530" s="11"/>
      <c r="O2530" s="11"/>
      <c r="P2530" s="11"/>
    </row>
    <row r="2531" spans="8:16" x14ac:dyDescent="0.25">
      <c r="H2531" s="12"/>
      <c r="I2531" s="12"/>
      <c r="J2531" s="12"/>
      <c r="K2531" s="12"/>
      <c r="L2531" s="12"/>
      <c r="M2531" s="11"/>
      <c r="N2531" s="11"/>
      <c r="O2531" s="11"/>
      <c r="P2531" s="11"/>
    </row>
    <row r="2532" spans="8:16" x14ac:dyDescent="0.25">
      <c r="H2532" s="12"/>
      <c r="I2532" s="12"/>
      <c r="J2532" s="12"/>
      <c r="K2532" s="12"/>
      <c r="L2532" s="12"/>
      <c r="M2532" s="11"/>
      <c r="N2532" s="11"/>
      <c r="O2532" s="11"/>
      <c r="P2532" s="11"/>
    </row>
    <row r="2533" spans="8:16" x14ac:dyDescent="0.25">
      <c r="H2533" s="12"/>
      <c r="I2533" s="12"/>
      <c r="J2533" s="12"/>
      <c r="K2533" s="12"/>
      <c r="L2533" s="12"/>
      <c r="M2533" s="11"/>
      <c r="N2533" s="11"/>
      <c r="O2533" s="11"/>
      <c r="P2533" s="11"/>
    </row>
    <row r="2534" spans="8:16" x14ac:dyDescent="0.25">
      <c r="H2534" s="12"/>
      <c r="I2534" s="12"/>
      <c r="J2534" s="12"/>
      <c r="K2534" s="12"/>
      <c r="L2534" s="12"/>
      <c r="M2534" s="11"/>
      <c r="N2534" s="11"/>
      <c r="O2534" s="11"/>
      <c r="P2534" s="11"/>
    </row>
    <row r="2535" spans="8:16" x14ac:dyDescent="0.25">
      <c r="H2535" s="12"/>
      <c r="I2535" s="12"/>
      <c r="J2535" s="12"/>
      <c r="K2535" s="12"/>
      <c r="L2535" s="12"/>
      <c r="M2535" s="11"/>
      <c r="N2535" s="11"/>
      <c r="O2535" s="11"/>
      <c r="P2535" s="11"/>
    </row>
    <row r="2536" spans="8:16" x14ac:dyDescent="0.25">
      <c r="H2536" s="12"/>
      <c r="I2536" s="12"/>
      <c r="J2536" s="12"/>
      <c r="K2536" s="12"/>
      <c r="L2536" s="12"/>
      <c r="M2536" s="11"/>
      <c r="N2536" s="11"/>
      <c r="O2536" s="11"/>
      <c r="P2536" s="11"/>
    </row>
    <row r="2537" spans="8:16" x14ac:dyDescent="0.25">
      <c r="H2537" s="12"/>
      <c r="I2537" s="12"/>
      <c r="J2537" s="12"/>
      <c r="K2537" s="12"/>
      <c r="L2537" s="12"/>
      <c r="M2537" s="11"/>
      <c r="N2537" s="11"/>
      <c r="O2537" s="11"/>
      <c r="P2537" s="11"/>
    </row>
    <row r="2538" spans="8:16" x14ac:dyDescent="0.25">
      <c r="H2538" s="12"/>
      <c r="I2538" s="12"/>
      <c r="J2538" s="12"/>
      <c r="K2538" s="12"/>
      <c r="L2538" s="12"/>
      <c r="M2538" s="11"/>
      <c r="N2538" s="11"/>
      <c r="O2538" s="11"/>
      <c r="P2538" s="11"/>
    </row>
    <row r="2539" spans="8:16" x14ac:dyDescent="0.25">
      <c r="H2539" s="12"/>
      <c r="I2539" s="12"/>
      <c r="J2539" s="12"/>
      <c r="K2539" s="12"/>
      <c r="L2539" s="12"/>
      <c r="M2539" s="11"/>
      <c r="N2539" s="11"/>
      <c r="O2539" s="11"/>
      <c r="P2539" s="11"/>
    </row>
    <row r="2540" spans="8:16" x14ac:dyDescent="0.25">
      <c r="H2540" s="12"/>
      <c r="I2540" s="12"/>
      <c r="J2540" s="12"/>
      <c r="K2540" s="12"/>
      <c r="L2540" s="12"/>
      <c r="M2540" s="11"/>
      <c r="N2540" s="11"/>
      <c r="O2540" s="11"/>
      <c r="P2540" s="11"/>
    </row>
    <row r="2541" spans="8:16" x14ac:dyDescent="0.25">
      <c r="H2541" s="12"/>
      <c r="I2541" s="12"/>
      <c r="J2541" s="12"/>
      <c r="K2541" s="12"/>
      <c r="L2541" s="12"/>
      <c r="M2541" s="11"/>
      <c r="N2541" s="11"/>
      <c r="O2541" s="11"/>
      <c r="P2541" s="11"/>
    </row>
    <row r="2542" spans="8:16" x14ac:dyDescent="0.25">
      <c r="H2542" s="12"/>
      <c r="I2542" s="12"/>
      <c r="J2542" s="12"/>
      <c r="K2542" s="12"/>
      <c r="L2542" s="12"/>
      <c r="M2542" s="11"/>
      <c r="N2542" s="11"/>
      <c r="O2542" s="11"/>
      <c r="P2542" s="11"/>
    </row>
    <row r="2543" spans="8:16" x14ac:dyDescent="0.25">
      <c r="H2543" s="12"/>
      <c r="I2543" s="12"/>
      <c r="J2543" s="12"/>
      <c r="K2543" s="12"/>
      <c r="L2543" s="12"/>
      <c r="M2543" s="11"/>
      <c r="N2543" s="11"/>
      <c r="O2543" s="11"/>
      <c r="P2543" s="11"/>
    </row>
    <row r="2544" spans="8:16" x14ac:dyDescent="0.25">
      <c r="H2544" s="12"/>
      <c r="I2544" s="12"/>
      <c r="J2544" s="12"/>
      <c r="K2544" s="12"/>
      <c r="L2544" s="12"/>
      <c r="M2544" s="11"/>
      <c r="N2544" s="11"/>
      <c r="O2544" s="11"/>
      <c r="P2544" s="11"/>
    </row>
    <row r="2545" spans="8:16" x14ac:dyDescent="0.25">
      <c r="H2545" s="12"/>
      <c r="I2545" s="12"/>
      <c r="J2545" s="12"/>
      <c r="K2545" s="12"/>
      <c r="L2545" s="12"/>
      <c r="M2545" s="11"/>
      <c r="N2545" s="11"/>
      <c r="O2545" s="11"/>
      <c r="P2545" s="11"/>
    </row>
    <row r="2546" spans="8:16" x14ac:dyDescent="0.25">
      <c r="H2546" s="12"/>
      <c r="I2546" s="12"/>
      <c r="J2546" s="12"/>
      <c r="K2546" s="12"/>
      <c r="L2546" s="12"/>
      <c r="M2546" s="11"/>
      <c r="N2546" s="11"/>
      <c r="O2546" s="11"/>
      <c r="P2546" s="11"/>
    </row>
    <row r="2547" spans="8:16" x14ac:dyDescent="0.25">
      <c r="H2547" s="12"/>
      <c r="I2547" s="12"/>
      <c r="J2547" s="12"/>
      <c r="K2547" s="12"/>
      <c r="L2547" s="12"/>
      <c r="M2547" s="11"/>
      <c r="N2547" s="11"/>
      <c r="O2547" s="11"/>
      <c r="P2547" s="11"/>
    </row>
    <row r="2548" spans="8:16" x14ac:dyDescent="0.25">
      <c r="H2548" s="12"/>
      <c r="I2548" s="12"/>
      <c r="J2548" s="12"/>
      <c r="K2548" s="12"/>
      <c r="L2548" s="12"/>
      <c r="M2548" s="11"/>
      <c r="N2548" s="11"/>
      <c r="O2548" s="11"/>
      <c r="P2548" s="11"/>
    </row>
    <row r="2549" spans="8:16" x14ac:dyDescent="0.25">
      <c r="H2549" s="12"/>
      <c r="I2549" s="12"/>
      <c r="J2549" s="12"/>
      <c r="K2549" s="12"/>
      <c r="L2549" s="12"/>
      <c r="M2549" s="11"/>
      <c r="N2549" s="11"/>
      <c r="O2549" s="11"/>
      <c r="P2549" s="11"/>
    </row>
    <row r="2550" spans="8:16" x14ac:dyDescent="0.25">
      <c r="H2550" s="12"/>
      <c r="I2550" s="12"/>
      <c r="J2550" s="12"/>
      <c r="K2550" s="12"/>
      <c r="L2550" s="12"/>
      <c r="M2550" s="11"/>
      <c r="N2550" s="11"/>
      <c r="O2550" s="11"/>
      <c r="P2550" s="11"/>
    </row>
    <row r="2551" spans="8:16" x14ac:dyDescent="0.25">
      <c r="H2551" s="12"/>
      <c r="I2551" s="12"/>
      <c r="J2551" s="12"/>
      <c r="K2551" s="12"/>
      <c r="L2551" s="12"/>
      <c r="M2551" s="11"/>
      <c r="N2551" s="11"/>
      <c r="O2551" s="11"/>
      <c r="P2551" s="11"/>
    </row>
    <row r="2552" spans="8:16" x14ac:dyDescent="0.25">
      <c r="H2552" s="12"/>
      <c r="I2552" s="12"/>
      <c r="J2552" s="12"/>
      <c r="K2552" s="12"/>
      <c r="L2552" s="12"/>
      <c r="M2552" s="11"/>
      <c r="N2552" s="11"/>
      <c r="O2552" s="11"/>
      <c r="P2552" s="11"/>
    </row>
    <row r="2553" spans="8:16" x14ac:dyDescent="0.25">
      <c r="H2553" s="12"/>
      <c r="I2553" s="12"/>
      <c r="J2553" s="12"/>
      <c r="K2553" s="12"/>
      <c r="L2553" s="12"/>
      <c r="M2553" s="11"/>
      <c r="N2553" s="11"/>
      <c r="O2553" s="11"/>
      <c r="P2553" s="11"/>
    </row>
    <row r="2554" spans="8:16" x14ac:dyDescent="0.25">
      <c r="H2554" s="12"/>
      <c r="I2554" s="12"/>
      <c r="J2554" s="12"/>
      <c r="K2554" s="12"/>
      <c r="L2554" s="12"/>
      <c r="M2554" s="11"/>
      <c r="N2554" s="11"/>
      <c r="O2554" s="11"/>
      <c r="P2554" s="11"/>
    </row>
    <row r="2555" spans="8:16" x14ac:dyDescent="0.25">
      <c r="H2555" s="12"/>
      <c r="I2555" s="12"/>
      <c r="J2555" s="12"/>
      <c r="K2555" s="12"/>
      <c r="L2555" s="12"/>
      <c r="M2555" s="11"/>
      <c r="N2555" s="11"/>
      <c r="O2555" s="11"/>
      <c r="P2555" s="11"/>
    </row>
    <row r="2556" spans="8:16" x14ac:dyDescent="0.25">
      <c r="H2556" s="12"/>
      <c r="I2556" s="12"/>
      <c r="J2556" s="12"/>
      <c r="K2556" s="12"/>
      <c r="L2556" s="12"/>
      <c r="M2556" s="11"/>
      <c r="N2556" s="11"/>
      <c r="O2556" s="11"/>
      <c r="P2556" s="11"/>
    </row>
    <row r="2557" spans="8:16" x14ac:dyDescent="0.25">
      <c r="H2557" s="12"/>
      <c r="I2557" s="12"/>
      <c r="J2557" s="12"/>
      <c r="K2557" s="12"/>
      <c r="L2557" s="12"/>
      <c r="M2557" s="11"/>
      <c r="N2557" s="11"/>
      <c r="O2557" s="11"/>
      <c r="P2557" s="11"/>
    </row>
    <row r="2558" spans="8:16" x14ac:dyDescent="0.25">
      <c r="H2558" s="12"/>
      <c r="I2558" s="12"/>
      <c r="J2558" s="12"/>
      <c r="K2558" s="12"/>
      <c r="L2558" s="12"/>
      <c r="M2558" s="11"/>
      <c r="N2558" s="11"/>
      <c r="O2558" s="11"/>
      <c r="P2558" s="11"/>
    </row>
    <row r="2559" spans="8:16" x14ac:dyDescent="0.25">
      <c r="H2559" s="12"/>
      <c r="I2559" s="12"/>
      <c r="J2559" s="12"/>
      <c r="K2559" s="12"/>
      <c r="L2559" s="12"/>
      <c r="M2559" s="11"/>
      <c r="N2559" s="11"/>
      <c r="O2559" s="11"/>
      <c r="P2559" s="11"/>
    </row>
    <row r="2560" spans="8:16" x14ac:dyDescent="0.25">
      <c r="H2560" s="12"/>
      <c r="I2560" s="12"/>
      <c r="J2560" s="12"/>
      <c r="K2560" s="12"/>
      <c r="L2560" s="12"/>
      <c r="M2560" s="11"/>
      <c r="N2560" s="11"/>
      <c r="O2560" s="11"/>
      <c r="P2560" s="11"/>
    </row>
    <row r="2561" spans="8:16" x14ac:dyDescent="0.25">
      <c r="H2561" s="12"/>
      <c r="I2561" s="12"/>
      <c r="J2561" s="12"/>
      <c r="K2561" s="12"/>
      <c r="L2561" s="12"/>
      <c r="M2561" s="11"/>
      <c r="N2561" s="11"/>
      <c r="O2561" s="11"/>
      <c r="P2561" s="11"/>
    </row>
    <row r="2562" spans="8:16" x14ac:dyDescent="0.25">
      <c r="H2562" s="12"/>
      <c r="I2562" s="12"/>
      <c r="J2562" s="12"/>
      <c r="K2562" s="12"/>
      <c r="L2562" s="12"/>
      <c r="M2562" s="11"/>
      <c r="N2562" s="11"/>
      <c r="O2562" s="11"/>
      <c r="P2562" s="11"/>
    </row>
    <row r="2563" spans="8:16" x14ac:dyDescent="0.25">
      <c r="H2563" s="12"/>
      <c r="I2563" s="12"/>
      <c r="J2563" s="12"/>
      <c r="K2563" s="12"/>
      <c r="L2563" s="12"/>
      <c r="M2563" s="11"/>
      <c r="N2563" s="11"/>
      <c r="O2563" s="11"/>
      <c r="P2563" s="11"/>
    </row>
    <row r="2564" spans="8:16" x14ac:dyDescent="0.25">
      <c r="H2564" s="12"/>
      <c r="I2564" s="12"/>
      <c r="J2564" s="12"/>
      <c r="K2564" s="12"/>
      <c r="L2564" s="12"/>
      <c r="M2564" s="11"/>
      <c r="N2564" s="11"/>
      <c r="O2564" s="11"/>
      <c r="P2564" s="11"/>
    </row>
    <row r="2565" spans="8:16" x14ac:dyDescent="0.25">
      <c r="H2565" s="12"/>
      <c r="I2565" s="12"/>
      <c r="J2565" s="12"/>
      <c r="K2565" s="12"/>
      <c r="L2565" s="12"/>
      <c r="M2565" s="11"/>
      <c r="N2565" s="11"/>
      <c r="O2565" s="11"/>
      <c r="P2565" s="11"/>
    </row>
    <row r="2566" spans="8:16" x14ac:dyDescent="0.25">
      <c r="H2566" s="12"/>
      <c r="I2566" s="12"/>
      <c r="J2566" s="12"/>
      <c r="K2566" s="12"/>
      <c r="L2566" s="12"/>
      <c r="M2566" s="11"/>
      <c r="N2566" s="11"/>
      <c r="O2566" s="11"/>
      <c r="P2566" s="11"/>
    </row>
    <row r="2567" spans="8:16" x14ac:dyDescent="0.25">
      <c r="H2567" s="12"/>
      <c r="I2567" s="12"/>
      <c r="J2567" s="12"/>
      <c r="K2567" s="12"/>
      <c r="L2567" s="12"/>
      <c r="M2567" s="11"/>
      <c r="N2567" s="11"/>
      <c r="O2567" s="11"/>
      <c r="P2567" s="11"/>
    </row>
    <row r="2568" spans="8:16" x14ac:dyDescent="0.25">
      <c r="H2568" s="12"/>
      <c r="I2568" s="12"/>
      <c r="J2568" s="12"/>
      <c r="K2568" s="12"/>
      <c r="L2568" s="12"/>
      <c r="M2568" s="11"/>
      <c r="N2568" s="11"/>
      <c r="O2568" s="11"/>
      <c r="P2568" s="11"/>
    </row>
    <row r="2569" spans="8:16" x14ac:dyDescent="0.25">
      <c r="H2569" s="12"/>
      <c r="I2569" s="12"/>
      <c r="J2569" s="12"/>
      <c r="K2569" s="12"/>
      <c r="L2569" s="12"/>
      <c r="M2569" s="11"/>
      <c r="N2569" s="11"/>
      <c r="O2569" s="11"/>
      <c r="P2569" s="11"/>
    </row>
    <row r="2570" spans="8:16" x14ac:dyDescent="0.25">
      <c r="H2570" s="12"/>
      <c r="I2570" s="12"/>
      <c r="J2570" s="12"/>
      <c r="K2570" s="12"/>
      <c r="L2570" s="12"/>
      <c r="M2570" s="11"/>
      <c r="N2570" s="11"/>
      <c r="O2570" s="11"/>
      <c r="P2570" s="11"/>
    </row>
    <row r="2571" spans="8:16" x14ac:dyDescent="0.25">
      <c r="H2571" s="12"/>
      <c r="I2571" s="12"/>
      <c r="J2571" s="12"/>
      <c r="K2571" s="12"/>
      <c r="L2571" s="12"/>
      <c r="M2571" s="11"/>
      <c r="N2571" s="11"/>
      <c r="O2571" s="11"/>
      <c r="P2571" s="11"/>
    </row>
    <row r="2572" spans="8:16" x14ac:dyDescent="0.25">
      <c r="H2572" s="12"/>
      <c r="I2572" s="12"/>
      <c r="J2572" s="12"/>
      <c r="K2572" s="12"/>
      <c r="L2572" s="12"/>
      <c r="M2572" s="11"/>
      <c r="N2572" s="11"/>
      <c r="O2572" s="11"/>
      <c r="P2572" s="11"/>
    </row>
    <row r="2573" spans="8:16" x14ac:dyDescent="0.25">
      <c r="H2573" s="12"/>
      <c r="I2573" s="12"/>
      <c r="J2573" s="12"/>
      <c r="K2573" s="12"/>
      <c r="L2573" s="12"/>
      <c r="M2573" s="11"/>
      <c r="N2573" s="11"/>
      <c r="O2573" s="11"/>
      <c r="P2573" s="11"/>
    </row>
    <row r="2574" spans="8:16" x14ac:dyDescent="0.25">
      <c r="H2574" s="12"/>
      <c r="I2574" s="12"/>
      <c r="J2574" s="12"/>
      <c r="K2574" s="12"/>
      <c r="L2574" s="12"/>
      <c r="M2574" s="11"/>
      <c r="N2574" s="11"/>
      <c r="O2574" s="11"/>
      <c r="P2574" s="11"/>
    </row>
    <row r="2575" spans="8:16" x14ac:dyDescent="0.25">
      <c r="H2575" s="12"/>
      <c r="I2575" s="12"/>
      <c r="J2575" s="12"/>
      <c r="K2575" s="12"/>
      <c r="L2575" s="12"/>
      <c r="M2575" s="11"/>
      <c r="N2575" s="11"/>
      <c r="O2575" s="11"/>
      <c r="P2575" s="11"/>
    </row>
    <row r="2576" spans="8:16" x14ac:dyDescent="0.25">
      <c r="H2576" s="12"/>
      <c r="I2576" s="12"/>
      <c r="J2576" s="12"/>
      <c r="K2576" s="12"/>
      <c r="L2576" s="12"/>
      <c r="M2576" s="11"/>
      <c r="N2576" s="11"/>
      <c r="O2576" s="11"/>
      <c r="P2576" s="11"/>
    </row>
    <row r="2577" spans="8:16" x14ac:dyDescent="0.25">
      <c r="H2577" s="12"/>
      <c r="I2577" s="12"/>
      <c r="J2577" s="12"/>
      <c r="K2577" s="12"/>
      <c r="L2577" s="12"/>
      <c r="M2577" s="11"/>
      <c r="N2577" s="11"/>
      <c r="O2577" s="11"/>
      <c r="P2577" s="11"/>
    </row>
    <row r="2578" spans="8:16" x14ac:dyDescent="0.25">
      <c r="H2578" s="12"/>
      <c r="I2578" s="12"/>
      <c r="J2578" s="12"/>
      <c r="K2578" s="12"/>
      <c r="L2578" s="12"/>
      <c r="M2578" s="11"/>
      <c r="N2578" s="11"/>
      <c r="O2578" s="11"/>
      <c r="P2578" s="11"/>
    </row>
    <row r="2579" spans="8:16" x14ac:dyDescent="0.25">
      <c r="H2579" s="12"/>
      <c r="I2579" s="12"/>
      <c r="J2579" s="12"/>
      <c r="K2579" s="12"/>
      <c r="L2579" s="12"/>
      <c r="M2579" s="11"/>
      <c r="N2579" s="11"/>
      <c r="O2579" s="11"/>
      <c r="P2579" s="11"/>
    </row>
    <row r="2580" spans="8:16" x14ac:dyDescent="0.25">
      <c r="H2580" s="12"/>
      <c r="I2580" s="12"/>
      <c r="J2580" s="12"/>
      <c r="K2580" s="12"/>
      <c r="L2580" s="12"/>
      <c r="M2580" s="11"/>
      <c r="N2580" s="11"/>
      <c r="O2580" s="11"/>
      <c r="P2580" s="11"/>
    </row>
    <row r="2581" spans="8:16" x14ac:dyDescent="0.25">
      <c r="H2581" s="12"/>
      <c r="I2581" s="12"/>
      <c r="J2581" s="12"/>
      <c r="K2581" s="12"/>
      <c r="L2581" s="12"/>
      <c r="M2581" s="11"/>
      <c r="N2581" s="11"/>
      <c r="O2581" s="11"/>
      <c r="P2581" s="11"/>
    </row>
    <row r="2582" spans="8:16" x14ac:dyDescent="0.25">
      <c r="H2582" s="12"/>
      <c r="I2582" s="12"/>
      <c r="J2582" s="12"/>
      <c r="K2582" s="12"/>
      <c r="L2582" s="12"/>
      <c r="M2582" s="11"/>
      <c r="N2582" s="11"/>
      <c r="O2582" s="11"/>
      <c r="P2582" s="11"/>
    </row>
    <row r="2583" spans="8:16" x14ac:dyDescent="0.25">
      <c r="H2583" s="12"/>
      <c r="I2583" s="12"/>
      <c r="J2583" s="12"/>
      <c r="K2583" s="12"/>
      <c r="L2583" s="12"/>
      <c r="M2583" s="11"/>
      <c r="N2583" s="11"/>
      <c r="O2583" s="11"/>
      <c r="P2583" s="11"/>
    </row>
    <row r="2584" spans="8:16" x14ac:dyDescent="0.25">
      <c r="H2584" s="12"/>
      <c r="I2584" s="12"/>
      <c r="J2584" s="12"/>
      <c r="K2584" s="12"/>
      <c r="L2584" s="12"/>
      <c r="M2584" s="11"/>
      <c r="N2584" s="11"/>
      <c r="O2584" s="11"/>
      <c r="P2584" s="11"/>
    </row>
    <row r="2585" spans="8:16" x14ac:dyDescent="0.25">
      <c r="H2585" s="12"/>
      <c r="I2585" s="12"/>
      <c r="J2585" s="12"/>
      <c r="K2585" s="12"/>
      <c r="L2585" s="12"/>
      <c r="M2585" s="11"/>
      <c r="N2585" s="11"/>
      <c r="O2585" s="11"/>
      <c r="P2585" s="11"/>
    </row>
    <row r="2586" spans="8:16" x14ac:dyDescent="0.25">
      <c r="H2586" s="12"/>
      <c r="I2586" s="12"/>
      <c r="J2586" s="12"/>
      <c r="K2586" s="12"/>
      <c r="L2586" s="12"/>
      <c r="M2586" s="11"/>
      <c r="N2586" s="11"/>
      <c r="O2586" s="11"/>
      <c r="P2586" s="11"/>
    </row>
    <row r="2587" spans="8:16" x14ac:dyDescent="0.25">
      <c r="H2587" s="12"/>
      <c r="I2587" s="12"/>
      <c r="J2587" s="12"/>
      <c r="K2587" s="12"/>
      <c r="L2587" s="12"/>
      <c r="M2587" s="11"/>
      <c r="N2587" s="11"/>
      <c r="O2587" s="11"/>
      <c r="P2587" s="11"/>
    </row>
    <row r="2588" spans="8:16" x14ac:dyDescent="0.25">
      <c r="H2588" s="12"/>
      <c r="I2588" s="12"/>
      <c r="J2588" s="12"/>
      <c r="K2588" s="12"/>
      <c r="L2588" s="12"/>
      <c r="M2588" s="11"/>
      <c r="N2588" s="11"/>
      <c r="O2588" s="11"/>
      <c r="P2588" s="11"/>
    </row>
    <row r="2589" spans="8:16" x14ac:dyDescent="0.25">
      <c r="H2589" s="12"/>
      <c r="I2589" s="12"/>
      <c r="J2589" s="12"/>
      <c r="K2589" s="12"/>
      <c r="L2589" s="12"/>
      <c r="M2589" s="11"/>
      <c r="N2589" s="11"/>
      <c r="O2589" s="11"/>
      <c r="P2589" s="11"/>
    </row>
    <row r="2590" spans="8:16" x14ac:dyDescent="0.25">
      <c r="H2590" s="12"/>
      <c r="I2590" s="12"/>
      <c r="J2590" s="12"/>
      <c r="K2590" s="12"/>
      <c r="L2590" s="12"/>
      <c r="M2590" s="11"/>
      <c r="N2590" s="11"/>
      <c r="O2590" s="11"/>
      <c r="P2590" s="11"/>
    </row>
    <row r="2591" spans="8:16" x14ac:dyDescent="0.25">
      <c r="H2591" s="12"/>
      <c r="I2591" s="12"/>
      <c r="J2591" s="12"/>
      <c r="K2591" s="12"/>
      <c r="L2591" s="12"/>
      <c r="M2591" s="11"/>
      <c r="N2591" s="11"/>
      <c r="O2591" s="11"/>
      <c r="P2591" s="11"/>
    </row>
    <row r="2592" spans="8:16" x14ac:dyDescent="0.25">
      <c r="H2592" s="12"/>
      <c r="I2592" s="12"/>
      <c r="J2592" s="12"/>
      <c r="K2592" s="12"/>
      <c r="L2592" s="12"/>
      <c r="M2592" s="11"/>
      <c r="N2592" s="11"/>
      <c r="O2592" s="11"/>
      <c r="P2592" s="11"/>
    </row>
    <row r="2593" spans="8:16" x14ac:dyDescent="0.25">
      <c r="H2593" s="12"/>
      <c r="I2593" s="12"/>
      <c r="J2593" s="12"/>
      <c r="K2593" s="12"/>
      <c r="L2593" s="12"/>
      <c r="M2593" s="11"/>
      <c r="N2593" s="11"/>
      <c r="O2593" s="11"/>
      <c r="P2593" s="11"/>
    </row>
    <row r="2594" spans="8:16" x14ac:dyDescent="0.25">
      <c r="H2594" s="12"/>
      <c r="I2594" s="12"/>
      <c r="J2594" s="12"/>
      <c r="K2594" s="12"/>
      <c r="L2594" s="12"/>
      <c r="M2594" s="11"/>
      <c r="N2594" s="11"/>
      <c r="O2594" s="11"/>
      <c r="P2594" s="11"/>
    </row>
    <row r="2595" spans="8:16" x14ac:dyDescent="0.25">
      <c r="H2595" s="12"/>
      <c r="I2595" s="12"/>
      <c r="J2595" s="12"/>
      <c r="K2595" s="12"/>
      <c r="L2595" s="12"/>
      <c r="M2595" s="11"/>
      <c r="N2595" s="11"/>
      <c r="O2595" s="11"/>
      <c r="P2595" s="11"/>
    </row>
    <row r="2596" spans="8:16" x14ac:dyDescent="0.25">
      <c r="H2596" s="12"/>
      <c r="I2596" s="12"/>
      <c r="J2596" s="12"/>
      <c r="K2596" s="12"/>
      <c r="L2596" s="12"/>
      <c r="M2596" s="11"/>
      <c r="N2596" s="11"/>
      <c r="O2596" s="11"/>
      <c r="P2596" s="11"/>
    </row>
    <row r="2597" spans="8:16" x14ac:dyDescent="0.25">
      <c r="H2597" s="12"/>
      <c r="I2597" s="12"/>
      <c r="J2597" s="12"/>
      <c r="K2597" s="12"/>
      <c r="L2597" s="12"/>
      <c r="M2597" s="11"/>
      <c r="N2597" s="11"/>
      <c r="O2597" s="11"/>
      <c r="P2597" s="11"/>
    </row>
    <row r="2598" spans="8:16" x14ac:dyDescent="0.25">
      <c r="H2598" s="12"/>
      <c r="I2598" s="12"/>
      <c r="J2598" s="12"/>
      <c r="K2598" s="12"/>
      <c r="L2598" s="12"/>
      <c r="M2598" s="11"/>
      <c r="N2598" s="11"/>
      <c r="O2598" s="11"/>
      <c r="P2598" s="11"/>
    </row>
    <row r="2599" spans="8:16" x14ac:dyDescent="0.25">
      <c r="H2599" s="12"/>
      <c r="I2599" s="12"/>
      <c r="J2599" s="12"/>
      <c r="K2599" s="12"/>
      <c r="L2599" s="12"/>
      <c r="M2599" s="11"/>
      <c r="N2599" s="11"/>
      <c r="O2599" s="11"/>
      <c r="P2599" s="11"/>
    </row>
    <row r="2600" spans="8:16" x14ac:dyDescent="0.25">
      <c r="H2600" s="12"/>
      <c r="I2600" s="12"/>
      <c r="J2600" s="12"/>
      <c r="K2600" s="12"/>
      <c r="L2600" s="12"/>
      <c r="M2600" s="11"/>
      <c r="N2600" s="11"/>
      <c r="O2600" s="11"/>
      <c r="P2600" s="11"/>
    </row>
    <row r="2601" spans="8:16" x14ac:dyDescent="0.25">
      <c r="H2601" s="12"/>
      <c r="I2601" s="12"/>
      <c r="J2601" s="12"/>
      <c r="K2601" s="12"/>
      <c r="L2601" s="12"/>
      <c r="M2601" s="11"/>
      <c r="N2601" s="11"/>
      <c r="O2601" s="11"/>
      <c r="P2601" s="11"/>
    </row>
    <row r="2602" spans="8:16" x14ac:dyDescent="0.25">
      <c r="H2602" s="12"/>
      <c r="I2602" s="12"/>
      <c r="J2602" s="12"/>
      <c r="K2602" s="12"/>
      <c r="L2602" s="12"/>
      <c r="M2602" s="11"/>
      <c r="N2602" s="11"/>
      <c r="O2602" s="11"/>
      <c r="P2602" s="11"/>
    </row>
    <row r="2603" spans="8:16" x14ac:dyDescent="0.25">
      <c r="H2603" s="12"/>
      <c r="I2603" s="12"/>
      <c r="J2603" s="12"/>
      <c r="K2603" s="12"/>
      <c r="L2603" s="12"/>
      <c r="M2603" s="11"/>
      <c r="N2603" s="11"/>
      <c r="O2603" s="11"/>
      <c r="P2603" s="11"/>
    </row>
    <row r="2604" spans="8:16" x14ac:dyDescent="0.25">
      <c r="H2604" s="12"/>
      <c r="I2604" s="12"/>
      <c r="J2604" s="12"/>
      <c r="K2604" s="12"/>
      <c r="L2604" s="12"/>
      <c r="M2604" s="11"/>
      <c r="N2604" s="11"/>
      <c r="O2604" s="11"/>
      <c r="P2604" s="11"/>
    </row>
    <row r="2605" spans="8:16" x14ac:dyDescent="0.25">
      <c r="H2605" s="12"/>
      <c r="I2605" s="12"/>
      <c r="J2605" s="12"/>
      <c r="K2605" s="12"/>
      <c r="L2605" s="12"/>
      <c r="M2605" s="11"/>
      <c r="N2605" s="11"/>
      <c r="O2605" s="11"/>
      <c r="P2605" s="11"/>
    </row>
    <row r="2606" spans="8:16" x14ac:dyDescent="0.25">
      <c r="H2606" s="12"/>
      <c r="I2606" s="12"/>
      <c r="J2606" s="12"/>
      <c r="K2606" s="12"/>
      <c r="L2606" s="12"/>
      <c r="M2606" s="11"/>
      <c r="N2606" s="11"/>
      <c r="O2606" s="11"/>
      <c r="P2606" s="11"/>
    </row>
    <row r="2607" spans="8:16" x14ac:dyDescent="0.25">
      <c r="H2607" s="12"/>
      <c r="I2607" s="12"/>
      <c r="J2607" s="12"/>
      <c r="K2607" s="12"/>
      <c r="L2607" s="12"/>
      <c r="M2607" s="11"/>
      <c r="N2607" s="11"/>
      <c r="O2607" s="11"/>
      <c r="P2607" s="11"/>
    </row>
    <row r="2608" spans="8:16" x14ac:dyDescent="0.25">
      <c r="H2608" s="12"/>
      <c r="I2608" s="12"/>
      <c r="J2608" s="12"/>
      <c r="K2608" s="12"/>
      <c r="L2608" s="12"/>
      <c r="M2608" s="11"/>
      <c r="N2608" s="11"/>
      <c r="O2608" s="11"/>
      <c r="P2608" s="11"/>
    </row>
    <row r="2609" spans="8:16" x14ac:dyDescent="0.25">
      <c r="H2609" s="12"/>
      <c r="I2609" s="12"/>
      <c r="J2609" s="12"/>
      <c r="K2609" s="12"/>
      <c r="L2609" s="12"/>
      <c r="M2609" s="11"/>
      <c r="N2609" s="11"/>
      <c r="O2609" s="11"/>
      <c r="P2609" s="11"/>
    </row>
    <row r="2610" spans="8:16" x14ac:dyDescent="0.25">
      <c r="H2610" s="12"/>
      <c r="I2610" s="12"/>
      <c r="J2610" s="12"/>
      <c r="K2610" s="12"/>
      <c r="L2610" s="12"/>
      <c r="M2610" s="11"/>
      <c r="N2610" s="11"/>
      <c r="O2610" s="11"/>
      <c r="P2610" s="11"/>
    </row>
    <row r="2611" spans="8:16" x14ac:dyDescent="0.25">
      <c r="H2611" s="12"/>
      <c r="I2611" s="12"/>
      <c r="J2611" s="12"/>
      <c r="K2611" s="12"/>
      <c r="L2611" s="12"/>
      <c r="M2611" s="11"/>
      <c r="N2611" s="11"/>
      <c r="O2611" s="11"/>
      <c r="P2611" s="11"/>
    </row>
    <row r="2612" spans="8:16" x14ac:dyDescent="0.25">
      <c r="H2612" s="12"/>
      <c r="I2612" s="12"/>
      <c r="J2612" s="12"/>
      <c r="K2612" s="12"/>
      <c r="L2612" s="12"/>
      <c r="M2612" s="11"/>
      <c r="N2612" s="11"/>
      <c r="O2612" s="11"/>
      <c r="P2612" s="11"/>
    </row>
    <row r="2613" spans="8:16" x14ac:dyDescent="0.25">
      <c r="H2613" s="12"/>
      <c r="I2613" s="12"/>
      <c r="J2613" s="12"/>
      <c r="K2613" s="12"/>
      <c r="L2613" s="12"/>
      <c r="M2613" s="11"/>
      <c r="N2613" s="11"/>
      <c r="O2613" s="11"/>
      <c r="P2613" s="11"/>
    </row>
    <row r="2614" spans="8:16" x14ac:dyDescent="0.25">
      <c r="H2614" s="12"/>
      <c r="I2614" s="12"/>
      <c r="J2614" s="12"/>
      <c r="K2614" s="12"/>
      <c r="L2614" s="12"/>
      <c r="M2614" s="11"/>
      <c r="N2614" s="11"/>
      <c r="O2614" s="11"/>
      <c r="P2614" s="11"/>
    </row>
    <row r="2615" spans="8:16" x14ac:dyDescent="0.25">
      <c r="H2615" s="12"/>
      <c r="I2615" s="12"/>
      <c r="J2615" s="12"/>
      <c r="K2615" s="12"/>
      <c r="L2615" s="12"/>
      <c r="M2615" s="11"/>
      <c r="N2615" s="11"/>
      <c r="O2615" s="11"/>
      <c r="P2615" s="11"/>
    </row>
    <row r="2616" spans="8:16" x14ac:dyDescent="0.25">
      <c r="H2616" s="12"/>
      <c r="I2616" s="12"/>
      <c r="J2616" s="12"/>
      <c r="K2616" s="12"/>
      <c r="L2616" s="12"/>
      <c r="M2616" s="11"/>
      <c r="N2616" s="11"/>
      <c r="O2616" s="11"/>
      <c r="P2616" s="11"/>
    </row>
    <row r="2617" spans="8:16" x14ac:dyDescent="0.25">
      <c r="H2617" s="12"/>
      <c r="I2617" s="12"/>
      <c r="J2617" s="12"/>
      <c r="K2617" s="12"/>
      <c r="L2617" s="12"/>
      <c r="M2617" s="11"/>
      <c r="N2617" s="11"/>
      <c r="O2617" s="11"/>
      <c r="P2617" s="11"/>
    </row>
    <row r="2618" spans="8:16" x14ac:dyDescent="0.25">
      <c r="H2618" s="12"/>
      <c r="I2618" s="12"/>
      <c r="J2618" s="12"/>
      <c r="K2618" s="12"/>
      <c r="L2618" s="12"/>
      <c r="M2618" s="11"/>
      <c r="N2618" s="11"/>
      <c r="O2618" s="11"/>
      <c r="P2618" s="11"/>
    </row>
    <row r="2619" spans="8:16" x14ac:dyDescent="0.25">
      <c r="H2619" s="12"/>
      <c r="I2619" s="12"/>
      <c r="J2619" s="12"/>
      <c r="K2619" s="12"/>
      <c r="L2619" s="12"/>
      <c r="M2619" s="11"/>
      <c r="N2619" s="11"/>
      <c r="O2619" s="11"/>
      <c r="P2619" s="11"/>
    </row>
    <row r="2620" spans="8:16" x14ac:dyDescent="0.25">
      <c r="H2620" s="12"/>
      <c r="I2620" s="12"/>
      <c r="J2620" s="12"/>
      <c r="K2620" s="12"/>
      <c r="L2620" s="12"/>
      <c r="M2620" s="11"/>
      <c r="N2620" s="11"/>
      <c r="O2620" s="11"/>
      <c r="P2620" s="11"/>
    </row>
    <row r="2621" spans="8:16" x14ac:dyDescent="0.25">
      <c r="H2621" s="12"/>
      <c r="I2621" s="12"/>
      <c r="J2621" s="12"/>
      <c r="K2621" s="12"/>
      <c r="L2621" s="12"/>
      <c r="M2621" s="11"/>
      <c r="N2621" s="11"/>
      <c r="O2621" s="11"/>
      <c r="P2621" s="11"/>
    </row>
    <row r="2622" spans="8:16" x14ac:dyDescent="0.25">
      <c r="H2622" s="12"/>
      <c r="I2622" s="12"/>
      <c r="J2622" s="12"/>
      <c r="K2622" s="12"/>
      <c r="L2622" s="12"/>
      <c r="M2622" s="11"/>
      <c r="N2622" s="11"/>
      <c r="O2622" s="11"/>
      <c r="P2622" s="11"/>
    </row>
    <row r="2623" spans="8:16" x14ac:dyDescent="0.25">
      <c r="H2623" s="12"/>
      <c r="I2623" s="12"/>
      <c r="J2623" s="12"/>
      <c r="K2623" s="12"/>
      <c r="L2623" s="12"/>
      <c r="M2623" s="11"/>
      <c r="N2623" s="11"/>
      <c r="O2623" s="11"/>
      <c r="P2623" s="11"/>
    </row>
    <row r="2624" spans="8:16" x14ac:dyDescent="0.25">
      <c r="H2624" s="12"/>
      <c r="I2624" s="12"/>
      <c r="J2624" s="12"/>
      <c r="K2624" s="12"/>
      <c r="L2624" s="12"/>
      <c r="M2624" s="11"/>
      <c r="N2624" s="11"/>
      <c r="O2624" s="11"/>
      <c r="P2624" s="11"/>
    </row>
    <row r="2625" spans="8:16" x14ac:dyDescent="0.25">
      <c r="H2625" s="12"/>
      <c r="I2625" s="12"/>
      <c r="J2625" s="12"/>
      <c r="K2625" s="12"/>
      <c r="L2625" s="12"/>
      <c r="M2625" s="11"/>
      <c r="N2625" s="11"/>
      <c r="O2625" s="11"/>
      <c r="P2625" s="11"/>
    </row>
    <row r="2626" spans="8:16" x14ac:dyDescent="0.25">
      <c r="H2626" s="12"/>
      <c r="I2626" s="12"/>
      <c r="J2626" s="12"/>
      <c r="K2626" s="12"/>
      <c r="L2626" s="12"/>
      <c r="M2626" s="11"/>
      <c r="N2626" s="11"/>
      <c r="O2626" s="11"/>
      <c r="P2626" s="11"/>
    </row>
    <row r="2627" spans="8:16" x14ac:dyDescent="0.25">
      <c r="H2627" s="12"/>
      <c r="I2627" s="12"/>
      <c r="J2627" s="12"/>
      <c r="K2627" s="12"/>
      <c r="L2627" s="12"/>
      <c r="M2627" s="11"/>
      <c r="N2627" s="11"/>
      <c r="O2627" s="11"/>
      <c r="P2627" s="11"/>
    </row>
    <row r="2628" spans="8:16" x14ac:dyDescent="0.25">
      <c r="H2628" s="12"/>
      <c r="I2628" s="12"/>
      <c r="J2628" s="12"/>
      <c r="K2628" s="12"/>
      <c r="L2628" s="12"/>
      <c r="M2628" s="11"/>
      <c r="N2628" s="11"/>
      <c r="O2628" s="11"/>
      <c r="P2628" s="11"/>
    </row>
    <row r="2629" spans="8:16" x14ac:dyDescent="0.25">
      <c r="H2629" s="12"/>
      <c r="I2629" s="12"/>
      <c r="J2629" s="12"/>
      <c r="K2629" s="12"/>
      <c r="L2629" s="12"/>
      <c r="M2629" s="11"/>
      <c r="N2629" s="11"/>
      <c r="O2629" s="11"/>
      <c r="P2629" s="11"/>
    </row>
    <row r="2630" spans="8:16" x14ac:dyDescent="0.25">
      <c r="H2630" s="12"/>
      <c r="I2630" s="12"/>
      <c r="J2630" s="12"/>
      <c r="K2630" s="12"/>
      <c r="L2630" s="12"/>
      <c r="M2630" s="11"/>
      <c r="N2630" s="11"/>
      <c r="O2630" s="11"/>
      <c r="P2630" s="11"/>
    </row>
    <row r="2631" spans="8:16" x14ac:dyDescent="0.25">
      <c r="H2631" s="12"/>
      <c r="I2631" s="12"/>
      <c r="J2631" s="12"/>
      <c r="K2631" s="12"/>
      <c r="L2631" s="12"/>
      <c r="M2631" s="11"/>
      <c r="N2631" s="11"/>
      <c r="O2631" s="11"/>
      <c r="P2631" s="11"/>
    </row>
    <row r="2632" spans="8:16" x14ac:dyDescent="0.25">
      <c r="H2632" s="12"/>
      <c r="I2632" s="12"/>
      <c r="J2632" s="12"/>
      <c r="K2632" s="12"/>
      <c r="L2632" s="12"/>
      <c r="M2632" s="11"/>
      <c r="N2632" s="11"/>
      <c r="O2632" s="11"/>
      <c r="P2632" s="11"/>
    </row>
    <row r="2633" spans="8:16" x14ac:dyDescent="0.25">
      <c r="H2633" s="12"/>
      <c r="I2633" s="12"/>
      <c r="J2633" s="12"/>
      <c r="K2633" s="12"/>
      <c r="L2633" s="12"/>
      <c r="M2633" s="11"/>
      <c r="N2633" s="11"/>
      <c r="O2633" s="11"/>
      <c r="P2633" s="11"/>
    </row>
    <row r="2634" spans="8:16" x14ac:dyDescent="0.25">
      <c r="H2634" s="12"/>
      <c r="I2634" s="12"/>
      <c r="J2634" s="12"/>
      <c r="K2634" s="12"/>
      <c r="L2634" s="12"/>
      <c r="M2634" s="11"/>
      <c r="N2634" s="11"/>
      <c r="O2634" s="11"/>
      <c r="P2634" s="11"/>
    </row>
    <row r="2635" spans="8:16" x14ac:dyDescent="0.25">
      <c r="H2635" s="12"/>
      <c r="I2635" s="12"/>
      <c r="J2635" s="12"/>
      <c r="K2635" s="12"/>
      <c r="L2635" s="12"/>
      <c r="M2635" s="11"/>
      <c r="N2635" s="11"/>
      <c r="O2635" s="11"/>
      <c r="P2635" s="11"/>
    </row>
    <row r="2636" spans="8:16" x14ac:dyDescent="0.25">
      <c r="H2636" s="12"/>
      <c r="I2636" s="12"/>
      <c r="J2636" s="12"/>
      <c r="K2636" s="12"/>
      <c r="L2636" s="12"/>
      <c r="M2636" s="11"/>
      <c r="N2636" s="11"/>
      <c r="O2636" s="11"/>
      <c r="P2636" s="11"/>
    </row>
    <row r="2637" spans="8:16" x14ac:dyDescent="0.25">
      <c r="H2637" s="12"/>
      <c r="I2637" s="12"/>
      <c r="J2637" s="12"/>
      <c r="K2637" s="12"/>
      <c r="L2637" s="12"/>
      <c r="M2637" s="11"/>
      <c r="N2637" s="11"/>
      <c r="O2637" s="11"/>
      <c r="P2637" s="11"/>
    </row>
    <row r="2638" spans="8:16" x14ac:dyDescent="0.25">
      <c r="H2638" s="12"/>
      <c r="I2638" s="12"/>
      <c r="J2638" s="12"/>
      <c r="K2638" s="12"/>
      <c r="L2638" s="12"/>
      <c r="M2638" s="11"/>
      <c r="N2638" s="11"/>
      <c r="O2638" s="11"/>
      <c r="P2638" s="11"/>
    </row>
    <row r="2639" spans="8:16" x14ac:dyDescent="0.25">
      <c r="H2639" s="12"/>
      <c r="I2639" s="12"/>
      <c r="J2639" s="12"/>
      <c r="K2639" s="12"/>
      <c r="L2639" s="12"/>
      <c r="M2639" s="11"/>
      <c r="N2639" s="11"/>
      <c r="O2639" s="11"/>
      <c r="P2639" s="11"/>
    </row>
    <row r="2640" spans="8:16" x14ac:dyDescent="0.25">
      <c r="H2640" s="12"/>
      <c r="I2640" s="12"/>
      <c r="J2640" s="12"/>
      <c r="K2640" s="12"/>
      <c r="L2640" s="12"/>
      <c r="M2640" s="11"/>
      <c r="N2640" s="11"/>
      <c r="O2640" s="11"/>
      <c r="P2640" s="11"/>
    </row>
    <row r="2641" spans="8:16" x14ac:dyDescent="0.25">
      <c r="H2641" s="12"/>
      <c r="I2641" s="12"/>
      <c r="J2641" s="12"/>
      <c r="K2641" s="12"/>
      <c r="L2641" s="12"/>
      <c r="M2641" s="11"/>
      <c r="N2641" s="11"/>
      <c r="O2641" s="11"/>
      <c r="P2641" s="11"/>
    </row>
    <row r="2642" spans="8:16" x14ac:dyDescent="0.25">
      <c r="H2642" s="12"/>
      <c r="I2642" s="12"/>
      <c r="J2642" s="12"/>
      <c r="K2642" s="12"/>
      <c r="L2642" s="12"/>
      <c r="M2642" s="11"/>
      <c r="N2642" s="11"/>
      <c r="O2642" s="11"/>
      <c r="P2642" s="11"/>
    </row>
    <row r="2643" spans="8:16" x14ac:dyDescent="0.25">
      <c r="H2643" s="12"/>
      <c r="I2643" s="12"/>
      <c r="J2643" s="12"/>
      <c r="K2643" s="12"/>
      <c r="L2643" s="12"/>
      <c r="M2643" s="11"/>
      <c r="N2643" s="11"/>
      <c r="O2643" s="11"/>
      <c r="P2643" s="11"/>
    </row>
    <row r="2644" spans="8:16" x14ac:dyDescent="0.25">
      <c r="H2644" s="12"/>
      <c r="I2644" s="12"/>
      <c r="J2644" s="12"/>
      <c r="K2644" s="12"/>
      <c r="L2644" s="12"/>
      <c r="M2644" s="11"/>
      <c r="N2644" s="11"/>
      <c r="O2644" s="11"/>
      <c r="P2644" s="11"/>
    </row>
    <row r="2645" spans="8:16" x14ac:dyDescent="0.25">
      <c r="H2645" s="12"/>
      <c r="I2645" s="12"/>
      <c r="J2645" s="12"/>
      <c r="K2645" s="12"/>
      <c r="L2645" s="12"/>
      <c r="M2645" s="11"/>
      <c r="N2645" s="11"/>
      <c r="O2645" s="11"/>
      <c r="P2645" s="11"/>
    </row>
    <row r="2646" spans="8:16" x14ac:dyDescent="0.25">
      <c r="H2646" s="12"/>
      <c r="I2646" s="12"/>
      <c r="J2646" s="12"/>
      <c r="K2646" s="12"/>
      <c r="L2646" s="12"/>
      <c r="M2646" s="11"/>
      <c r="N2646" s="11"/>
      <c r="O2646" s="11"/>
      <c r="P2646" s="11"/>
    </row>
    <row r="2647" spans="8:16" x14ac:dyDescent="0.25">
      <c r="H2647" s="12"/>
      <c r="I2647" s="12"/>
      <c r="J2647" s="12"/>
      <c r="K2647" s="12"/>
      <c r="L2647" s="12"/>
      <c r="M2647" s="11"/>
      <c r="N2647" s="11"/>
      <c r="O2647" s="11"/>
      <c r="P2647" s="11"/>
    </row>
    <row r="2648" spans="8:16" x14ac:dyDescent="0.25">
      <c r="H2648" s="12"/>
      <c r="I2648" s="12"/>
      <c r="J2648" s="12"/>
      <c r="K2648" s="12"/>
      <c r="L2648" s="12"/>
      <c r="M2648" s="11"/>
      <c r="N2648" s="11"/>
      <c r="O2648" s="11"/>
      <c r="P2648" s="11"/>
    </row>
    <row r="2649" spans="8:16" x14ac:dyDescent="0.25">
      <c r="H2649" s="12"/>
      <c r="I2649" s="12"/>
      <c r="J2649" s="12"/>
      <c r="K2649" s="12"/>
      <c r="L2649" s="12"/>
      <c r="M2649" s="11"/>
      <c r="N2649" s="11"/>
      <c r="O2649" s="11"/>
      <c r="P2649" s="11"/>
    </row>
    <row r="2650" spans="8:16" x14ac:dyDescent="0.25">
      <c r="H2650" s="12"/>
      <c r="I2650" s="12"/>
      <c r="J2650" s="12"/>
      <c r="K2650" s="12"/>
      <c r="L2650" s="12"/>
      <c r="M2650" s="11"/>
      <c r="N2650" s="11"/>
      <c r="O2650" s="11"/>
      <c r="P2650" s="11"/>
    </row>
    <row r="2651" spans="8:16" x14ac:dyDescent="0.25">
      <c r="H2651" s="12"/>
      <c r="I2651" s="12"/>
      <c r="J2651" s="12"/>
      <c r="K2651" s="12"/>
      <c r="L2651" s="12"/>
      <c r="M2651" s="11"/>
      <c r="N2651" s="11"/>
      <c r="O2651" s="11"/>
      <c r="P2651" s="11"/>
    </row>
    <row r="2652" spans="8:16" x14ac:dyDescent="0.25">
      <c r="H2652" s="12"/>
      <c r="I2652" s="12"/>
      <c r="J2652" s="12"/>
      <c r="K2652" s="12"/>
      <c r="L2652" s="12"/>
      <c r="M2652" s="11"/>
      <c r="N2652" s="11"/>
      <c r="O2652" s="11"/>
      <c r="P2652" s="11"/>
    </row>
    <row r="2653" spans="8:16" x14ac:dyDescent="0.25">
      <c r="H2653" s="12"/>
      <c r="I2653" s="12"/>
      <c r="J2653" s="12"/>
      <c r="K2653" s="12"/>
      <c r="L2653" s="12"/>
      <c r="M2653" s="11"/>
      <c r="N2653" s="11"/>
      <c r="O2653" s="11"/>
      <c r="P2653" s="11"/>
    </row>
    <row r="2654" spans="8:16" x14ac:dyDescent="0.25">
      <c r="H2654" s="12"/>
      <c r="I2654" s="12"/>
      <c r="J2654" s="12"/>
      <c r="K2654" s="12"/>
      <c r="L2654" s="12"/>
      <c r="M2654" s="11"/>
      <c r="N2654" s="11"/>
      <c r="O2654" s="11"/>
      <c r="P2654" s="11"/>
    </row>
    <row r="2655" spans="8:16" x14ac:dyDescent="0.25">
      <c r="H2655" s="12"/>
      <c r="I2655" s="12"/>
      <c r="J2655" s="12"/>
      <c r="K2655" s="12"/>
      <c r="L2655" s="12"/>
      <c r="M2655" s="11"/>
      <c r="N2655" s="11"/>
      <c r="O2655" s="11"/>
      <c r="P2655" s="11"/>
    </row>
    <row r="2656" spans="8:16" x14ac:dyDescent="0.25">
      <c r="H2656" s="12"/>
      <c r="I2656" s="12"/>
      <c r="J2656" s="12"/>
      <c r="K2656" s="12"/>
      <c r="L2656" s="12"/>
      <c r="M2656" s="11"/>
      <c r="N2656" s="11"/>
      <c r="O2656" s="11"/>
      <c r="P2656" s="11"/>
    </row>
    <row r="2657" spans="8:16" x14ac:dyDescent="0.25">
      <c r="H2657" s="12"/>
      <c r="I2657" s="12"/>
      <c r="J2657" s="12"/>
      <c r="K2657" s="12"/>
      <c r="L2657" s="12"/>
      <c r="M2657" s="11"/>
      <c r="N2657" s="11"/>
      <c r="O2657" s="11"/>
      <c r="P2657" s="11"/>
    </row>
    <row r="2658" spans="8:16" x14ac:dyDescent="0.25">
      <c r="H2658" s="12"/>
      <c r="I2658" s="12"/>
      <c r="J2658" s="12"/>
      <c r="K2658" s="12"/>
      <c r="L2658" s="12"/>
      <c r="M2658" s="11"/>
      <c r="N2658" s="11"/>
      <c r="O2658" s="11"/>
      <c r="P2658" s="11"/>
    </row>
    <row r="2659" spans="8:16" x14ac:dyDescent="0.25">
      <c r="H2659" s="12"/>
      <c r="I2659" s="12"/>
      <c r="J2659" s="12"/>
      <c r="K2659" s="12"/>
      <c r="L2659" s="12"/>
      <c r="M2659" s="11"/>
      <c r="N2659" s="11"/>
      <c r="O2659" s="11"/>
      <c r="P2659" s="11"/>
    </row>
    <row r="2660" spans="8:16" x14ac:dyDescent="0.25">
      <c r="H2660" s="12"/>
      <c r="I2660" s="12"/>
      <c r="J2660" s="12"/>
      <c r="K2660" s="12"/>
      <c r="L2660" s="12"/>
      <c r="M2660" s="11"/>
      <c r="N2660" s="11"/>
      <c r="O2660" s="11"/>
      <c r="P2660" s="11"/>
    </row>
    <row r="2661" spans="8:16" x14ac:dyDescent="0.25">
      <c r="H2661" s="12"/>
      <c r="I2661" s="12"/>
      <c r="J2661" s="12"/>
      <c r="K2661" s="12"/>
      <c r="L2661" s="12"/>
      <c r="M2661" s="11"/>
      <c r="N2661" s="11"/>
      <c r="O2661" s="11"/>
      <c r="P2661" s="11"/>
    </row>
    <row r="2662" spans="8:16" x14ac:dyDescent="0.25">
      <c r="H2662" s="12"/>
      <c r="I2662" s="12"/>
      <c r="J2662" s="12"/>
      <c r="K2662" s="12"/>
      <c r="L2662" s="12"/>
      <c r="M2662" s="11"/>
      <c r="N2662" s="11"/>
      <c r="O2662" s="11"/>
      <c r="P2662" s="11"/>
    </row>
    <row r="2663" spans="8:16" x14ac:dyDescent="0.25">
      <c r="H2663" s="12"/>
      <c r="I2663" s="12"/>
      <c r="J2663" s="12"/>
      <c r="K2663" s="12"/>
      <c r="L2663" s="12"/>
      <c r="M2663" s="11"/>
      <c r="N2663" s="11"/>
      <c r="O2663" s="11"/>
      <c r="P2663" s="11"/>
    </row>
    <row r="2664" spans="8:16" x14ac:dyDescent="0.25">
      <c r="H2664" s="12"/>
      <c r="I2664" s="12"/>
      <c r="J2664" s="12"/>
      <c r="K2664" s="12"/>
      <c r="L2664" s="12"/>
      <c r="M2664" s="11"/>
      <c r="N2664" s="11"/>
      <c r="O2664" s="11"/>
      <c r="P2664" s="11"/>
    </row>
    <row r="2665" spans="8:16" x14ac:dyDescent="0.25">
      <c r="H2665" s="12"/>
      <c r="I2665" s="12"/>
      <c r="J2665" s="12"/>
      <c r="K2665" s="12"/>
      <c r="L2665" s="12"/>
      <c r="M2665" s="11"/>
      <c r="N2665" s="11"/>
      <c r="O2665" s="11"/>
      <c r="P2665" s="11"/>
    </row>
    <row r="2666" spans="8:16" x14ac:dyDescent="0.25">
      <c r="H2666" s="12"/>
      <c r="I2666" s="12"/>
      <c r="J2666" s="12"/>
      <c r="K2666" s="12"/>
      <c r="L2666" s="12"/>
      <c r="M2666" s="11"/>
      <c r="N2666" s="11"/>
      <c r="O2666" s="11"/>
      <c r="P2666" s="11"/>
    </row>
    <row r="2667" spans="8:16" x14ac:dyDescent="0.25">
      <c r="H2667" s="12"/>
      <c r="I2667" s="12"/>
      <c r="J2667" s="12"/>
      <c r="K2667" s="12"/>
      <c r="L2667" s="12"/>
      <c r="M2667" s="11"/>
      <c r="N2667" s="11"/>
      <c r="O2667" s="11"/>
      <c r="P2667" s="11"/>
    </row>
    <row r="2668" spans="8:16" x14ac:dyDescent="0.25">
      <c r="H2668" s="12"/>
      <c r="I2668" s="12"/>
      <c r="J2668" s="12"/>
      <c r="K2668" s="12"/>
      <c r="L2668" s="12"/>
      <c r="M2668" s="11"/>
      <c r="N2668" s="11"/>
      <c r="O2668" s="11"/>
      <c r="P2668" s="11"/>
    </row>
    <row r="2669" spans="8:16" x14ac:dyDescent="0.25">
      <c r="H2669" s="12"/>
      <c r="I2669" s="12"/>
      <c r="J2669" s="12"/>
      <c r="K2669" s="12"/>
      <c r="L2669" s="12"/>
      <c r="M2669" s="11"/>
      <c r="N2669" s="11"/>
      <c r="O2669" s="11"/>
      <c r="P2669" s="11"/>
    </row>
    <row r="2670" spans="8:16" x14ac:dyDescent="0.25">
      <c r="H2670" s="12"/>
      <c r="I2670" s="12"/>
      <c r="J2670" s="12"/>
      <c r="K2670" s="12"/>
      <c r="L2670" s="12"/>
      <c r="M2670" s="11"/>
      <c r="N2670" s="11"/>
      <c r="O2670" s="11"/>
      <c r="P2670" s="11"/>
    </row>
    <row r="2671" spans="8:16" x14ac:dyDescent="0.25">
      <c r="H2671" s="12"/>
      <c r="I2671" s="12"/>
      <c r="J2671" s="12"/>
      <c r="K2671" s="12"/>
      <c r="L2671" s="12"/>
      <c r="M2671" s="11"/>
      <c r="N2671" s="11"/>
      <c r="O2671" s="11"/>
      <c r="P2671" s="11"/>
    </row>
    <row r="2672" spans="8:16" x14ac:dyDescent="0.25">
      <c r="H2672" s="12"/>
      <c r="I2672" s="12"/>
      <c r="J2672" s="12"/>
      <c r="K2672" s="12"/>
      <c r="L2672" s="12"/>
      <c r="M2672" s="11"/>
      <c r="N2672" s="11"/>
      <c r="O2672" s="11"/>
      <c r="P2672" s="11"/>
    </row>
    <row r="2673" spans="8:16" x14ac:dyDescent="0.25">
      <c r="H2673" s="12"/>
      <c r="I2673" s="12"/>
      <c r="J2673" s="12"/>
      <c r="K2673" s="12"/>
      <c r="L2673" s="12"/>
      <c r="M2673" s="11"/>
      <c r="N2673" s="11"/>
      <c r="O2673" s="11"/>
      <c r="P2673" s="11"/>
    </row>
    <row r="2674" spans="8:16" x14ac:dyDescent="0.25">
      <c r="H2674" s="12"/>
      <c r="I2674" s="12"/>
      <c r="J2674" s="12"/>
      <c r="K2674" s="12"/>
      <c r="L2674" s="12"/>
      <c r="M2674" s="11"/>
      <c r="N2674" s="11"/>
      <c r="O2674" s="11"/>
      <c r="P2674" s="11"/>
    </row>
    <row r="2675" spans="8:16" x14ac:dyDescent="0.25">
      <c r="H2675" s="12"/>
      <c r="I2675" s="12"/>
      <c r="J2675" s="12"/>
      <c r="K2675" s="12"/>
      <c r="L2675" s="12"/>
      <c r="M2675" s="11"/>
      <c r="N2675" s="11"/>
      <c r="O2675" s="11"/>
      <c r="P2675" s="11"/>
    </row>
    <row r="2676" spans="8:16" x14ac:dyDescent="0.25">
      <c r="H2676" s="12"/>
      <c r="I2676" s="12"/>
      <c r="J2676" s="12"/>
      <c r="K2676" s="12"/>
      <c r="L2676" s="12"/>
      <c r="M2676" s="11"/>
      <c r="N2676" s="11"/>
      <c r="O2676" s="11"/>
      <c r="P2676" s="11"/>
    </row>
    <row r="2677" spans="8:16" x14ac:dyDescent="0.25">
      <c r="H2677" s="12"/>
      <c r="I2677" s="12"/>
      <c r="J2677" s="12"/>
      <c r="K2677" s="12"/>
      <c r="L2677" s="12"/>
      <c r="M2677" s="11"/>
      <c r="N2677" s="11"/>
      <c r="O2677" s="11"/>
      <c r="P2677" s="11"/>
    </row>
    <row r="2678" spans="8:16" x14ac:dyDescent="0.25">
      <c r="H2678" s="12"/>
      <c r="I2678" s="12"/>
      <c r="J2678" s="12"/>
      <c r="K2678" s="12"/>
      <c r="L2678" s="12"/>
      <c r="M2678" s="11"/>
      <c r="N2678" s="11"/>
      <c r="O2678" s="11"/>
      <c r="P2678" s="11"/>
    </row>
    <row r="2679" spans="8:16" x14ac:dyDescent="0.25">
      <c r="H2679" s="12"/>
      <c r="I2679" s="12"/>
      <c r="J2679" s="12"/>
      <c r="K2679" s="12"/>
      <c r="L2679" s="12"/>
      <c r="M2679" s="11"/>
      <c r="N2679" s="11"/>
      <c r="O2679" s="11"/>
      <c r="P2679" s="11"/>
    </row>
    <row r="2680" spans="8:16" x14ac:dyDescent="0.25">
      <c r="H2680" s="12"/>
      <c r="I2680" s="12"/>
      <c r="J2680" s="12"/>
      <c r="K2680" s="12"/>
      <c r="L2680" s="12"/>
      <c r="M2680" s="11"/>
      <c r="N2680" s="11"/>
      <c r="O2680" s="11"/>
      <c r="P2680" s="11"/>
    </row>
    <row r="2681" spans="8:16" x14ac:dyDescent="0.25">
      <c r="H2681" s="12"/>
      <c r="I2681" s="12"/>
      <c r="J2681" s="12"/>
      <c r="K2681" s="12"/>
      <c r="L2681" s="12"/>
      <c r="M2681" s="11"/>
      <c r="N2681" s="11"/>
      <c r="O2681" s="11"/>
      <c r="P2681" s="11"/>
    </row>
    <row r="2682" spans="8:16" x14ac:dyDescent="0.25">
      <c r="H2682" s="12"/>
      <c r="I2682" s="12"/>
      <c r="J2682" s="12"/>
      <c r="K2682" s="12"/>
      <c r="L2682" s="12"/>
      <c r="M2682" s="11"/>
      <c r="N2682" s="11"/>
      <c r="O2682" s="11"/>
      <c r="P2682" s="11"/>
    </row>
    <row r="2683" spans="8:16" x14ac:dyDescent="0.25">
      <c r="H2683" s="12"/>
      <c r="I2683" s="12"/>
      <c r="J2683" s="12"/>
      <c r="K2683" s="12"/>
      <c r="L2683" s="12"/>
      <c r="M2683" s="11"/>
      <c r="N2683" s="11"/>
      <c r="O2683" s="11"/>
      <c r="P2683" s="11"/>
    </row>
    <row r="2684" spans="8:16" x14ac:dyDescent="0.25">
      <c r="H2684" s="12"/>
      <c r="I2684" s="12"/>
      <c r="J2684" s="12"/>
      <c r="K2684" s="12"/>
      <c r="L2684" s="12"/>
      <c r="M2684" s="11"/>
      <c r="N2684" s="11"/>
      <c r="O2684" s="11"/>
      <c r="P2684" s="11"/>
    </row>
    <row r="2685" spans="8:16" x14ac:dyDescent="0.25">
      <c r="H2685" s="12"/>
      <c r="I2685" s="12"/>
      <c r="J2685" s="12"/>
      <c r="K2685" s="12"/>
      <c r="L2685" s="12"/>
      <c r="M2685" s="11"/>
      <c r="N2685" s="11"/>
      <c r="O2685" s="11"/>
      <c r="P2685" s="11"/>
    </row>
    <row r="2686" spans="8:16" x14ac:dyDescent="0.25">
      <c r="H2686" s="12"/>
      <c r="I2686" s="12"/>
      <c r="J2686" s="12"/>
      <c r="K2686" s="12"/>
      <c r="L2686" s="12"/>
      <c r="M2686" s="11"/>
      <c r="N2686" s="11"/>
      <c r="O2686" s="11"/>
      <c r="P2686" s="11"/>
    </row>
    <row r="2687" spans="8:16" x14ac:dyDescent="0.25">
      <c r="H2687" s="12"/>
      <c r="I2687" s="12"/>
      <c r="J2687" s="12"/>
      <c r="K2687" s="12"/>
      <c r="L2687" s="12"/>
      <c r="M2687" s="11"/>
      <c r="N2687" s="11"/>
      <c r="O2687" s="11"/>
      <c r="P2687" s="11"/>
    </row>
    <row r="2688" spans="8:16" x14ac:dyDescent="0.25">
      <c r="H2688" s="12"/>
      <c r="I2688" s="12"/>
      <c r="J2688" s="12"/>
      <c r="K2688" s="12"/>
      <c r="L2688" s="12"/>
      <c r="M2688" s="11"/>
      <c r="N2688" s="11"/>
      <c r="O2688" s="11"/>
      <c r="P2688" s="11"/>
    </row>
    <row r="2689" spans="8:16" x14ac:dyDescent="0.25">
      <c r="H2689" s="12"/>
      <c r="I2689" s="12"/>
      <c r="J2689" s="12"/>
      <c r="K2689" s="12"/>
      <c r="L2689" s="12"/>
      <c r="M2689" s="11"/>
      <c r="N2689" s="11"/>
      <c r="O2689" s="11"/>
      <c r="P2689" s="11"/>
    </row>
    <row r="2690" spans="8:16" x14ac:dyDescent="0.25">
      <c r="H2690" s="12"/>
      <c r="I2690" s="12"/>
      <c r="J2690" s="12"/>
      <c r="K2690" s="12"/>
      <c r="L2690" s="12"/>
      <c r="M2690" s="11"/>
      <c r="N2690" s="11"/>
      <c r="O2690" s="11"/>
      <c r="P2690" s="11"/>
    </row>
    <row r="2691" spans="8:16" x14ac:dyDescent="0.25">
      <c r="H2691" s="12"/>
      <c r="I2691" s="12"/>
      <c r="J2691" s="12"/>
      <c r="K2691" s="12"/>
      <c r="L2691" s="12"/>
      <c r="M2691" s="11"/>
      <c r="N2691" s="11"/>
      <c r="O2691" s="11"/>
      <c r="P2691" s="11"/>
    </row>
    <row r="2692" spans="8:16" x14ac:dyDescent="0.25">
      <c r="H2692" s="12"/>
      <c r="I2692" s="12"/>
      <c r="J2692" s="12"/>
      <c r="K2692" s="12"/>
      <c r="L2692" s="12"/>
      <c r="M2692" s="11"/>
      <c r="N2692" s="11"/>
      <c r="O2692" s="11"/>
      <c r="P2692" s="11"/>
    </row>
    <row r="2693" spans="8:16" x14ac:dyDescent="0.25">
      <c r="H2693" s="12"/>
      <c r="I2693" s="12"/>
      <c r="J2693" s="12"/>
      <c r="K2693" s="12"/>
      <c r="L2693" s="12"/>
      <c r="M2693" s="11"/>
      <c r="N2693" s="11"/>
      <c r="O2693" s="11"/>
      <c r="P2693" s="11"/>
    </row>
    <row r="2694" spans="8:16" x14ac:dyDescent="0.25">
      <c r="H2694" s="12"/>
      <c r="I2694" s="12"/>
      <c r="J2694" s="12"/>
      <c r="K2694" s="12"/>
      <c r="L2694" s="12"/>
      <c r="M2694" s="11"/>
      <c r="N2694" s="11"/>
      <c r="O2694" s="11"/>
      <c r="P2694" s="11"/>
    </row>
    <row r="2695" spans="8:16" x14ac:dyDescent="0.25">
      <c r="H2695" s="12"/>
      <c r="I2695" s="12"/>
      <c r="J2695" s="12"/>
      <c r="K2695" s="12"/>
      <c r="L2695" s="12"/>
      <c r="M2695" s="11"/>
      <c r="N2695" s="11"/>
      <c r="O2695" s="11"/>
      <c r="P2695" s="11"/>
    </row>
    <row r="2696" spans="8:16" x14ac:dyDescent="0.25">
      <c r="H2696" s="12"/>
      <c r="I2696" s="12"/>
      <c r="J2696" s="12"/>
      <c r="K2696" s="12"/>
      <c r="L2696" s="12"/>
      <c r="M2696" s="11"/>
      <c r="N2696" s="11"/>
      <c r="O2696" s="11"/>
      <c r="P2696" s="11"/>
    </row>
    <row r="2697" spans="8:16" x14ac:dyDescent="0.25">
      <c r="H2697" s="12"/>
      <c r="I2697" s="12"/>
      <c r="J2697" s="12"/>
      <c r="K2697" s="12"/>
      <c r="L2697" s="12"/>
      <c r="M2697" s="11"/>
      <c r="N2697" s="11"/>
      <c r="O2697" s="11"/>
      <c r="P2697" s="11"/>
    </row>
    <row r="2698" spans="8:16" x14ac:dyDescent="0.25">
      <c r="H2698" s="12"/>
      <c r="I2698" s="12"/>
      <c r="J2698" s="12"/>
      <c r="K2698" s="12"/>
      <c r="L2698" s="12"/>
      <c r="M2698" s="11"/>
      <c r="N2698" s="11"/>
      <c r="O2698" s="11"/>
      <c r="P2698" s="11"/>
    </row>
    <row r="2699" spans="8:16" x14ac:dyDescent="0.25">
      <c r="H2699" s="12"/>
      <c r="I2699" s="12"/>
      <c r="J2699" s="12"/>
      <c r="K2699" s="12"/>
      <c r="L2699" s="12"/>
      <c r="M2699" s="11"/>
      <c r="N2699" s="11"/>
      <c r="O2699" s="11"/>
      <c r="P2699" s="11"/>
    </row>
    <row r="2700" spans="8:16" x14ac:dyDescent="0.25">
      <c r="H2700" s="12"/>
      <c r="I2700" s="12"/>
      <c r="J2700" s="12"/>
      <c r="K2700" s="12"/>
      <c r="L2700" s="12"/>
      <c r="M2700" s="11"/>
      <c r="N2700" s="11"/>
      <c r="O2700" s="11"/>
      <c r="P2700" s="11"/>
    </row>
    <row r="2701" spans="8:16" x14ac:dyDescent="0.25">
      <c r="H2701" s="12"/>
      <c r="I2701" s="12"/>
      <c r="J2701" s="12"/>
      <c r="K2701" s="12"/>
      <c r="L2701" s="12"/>
      <c r="M2701" s="11"/>
      <c r="N2701" s="11"/>
      <c r="O2701" s="11"/>
      <c r="P2701" s="11"/>
    </row>
    <row r="2702" spans="8:16" x14ac:dyDescent="0.25">
      <c r="H2702" s="12"/>
      <c r="I2702" s="12"/>
      <c r="J2702" s="12"/>
      <c r="K2702" s="12"/>
      <c r="L2702" s="12"/>
      <c r="M2702" s="11"/>
      <c r="N2702" s="11"/>
      <c r="O2702" s="11"/>
      <c r="P2702" s="11"/>
    </row>
    <row r="2703" spans="8:16" x14ac:dyDescent="0.25">
      <c r="H2703" s="12"/>
      <c r="I2703" s="12"/>
      <c r="J2703" s="12"/>
      <c r="K2703" s="12"/>
      <c r="L2703" s="12"/>
      <c r="M2703" s="11"/>
      <c r="N2703" s="11"/>
      <c r="O2703" s="11"/>
      <c r="P2703" s="11"/>
    </row>
    <row r="2704" spans="8:16" x14ac:dyDescent="0.25">
      <c r="H2704" s="12"/>
      <c r="I2704" s="12"/>
      <c r="J2704" s="12"/>
      <c r="K2704" s="12"/>
      <c r="L2704" s="12"/>
      <c r="M2704" s="11"/>
      <c r="N2704" s="11"/>
      <c r="O2704" s="11"/>
      <c r="P2704" s="11"/>
    </row>
    <row r="2705" spans="8:16" x14ac:dyDescent="0.25">
      <c r="H2705" s="12"/>
      <c r="I2705" s="12"/>
      <c r="J2705" s="12"/>
      <c r="K2705" s="12"/>
      <c r="L2705" s="12"/>
      <c r="M2705" s="11"/>
      <c r="N2705" s="11"/>
      <c r="O2705" s="11"/>
      <c r="P2705" s="11"/>
    </row>
    <row r="2706" spans="8:16" x14ac:dyDescent="0.25">
      <c r="H2706" s="12"/>
      <c r="I2706" s="12"/>
      <c r="J2706" s="12"/>
      <c r="K2706" s="12"/>
      <c r="L2706" s="12"/>
      <c r="M2706" s="11"/>
      <c r="N2706" s="11"/>
      <c r="O2706" s="11"/>
      <c r="P2706" s="11"/>
    </row>
    <row r="2707" spans="8:16" x14ac:dyDescent="0.25">
      <c r="H2707" s="12"/>
      <c r="I2707" s="12"/>
      <c r="J2707" s="12"/>
      <c r="K2707" s="12"/>
      <c r="L2707" s="12"/>
      <c r="M2707" s="11"/>
      <c r="N2707" s="11"/>
      <c r="O2707" s="11"/>
      <c r="P2707" s="11"/>
    </row>
    <row r="2708" spans="8:16" x14ac:dyDescent="0.25">
      <c r="H2708" s="12"/>
      <c r="I2708" s="12"/>
      <c r="J2708" s="12"/>
      <c r="K2708" s="12"/>
      <c r="L2708" s="12"/>
      <c r="M2708" s="11"/>
      <c r="N2708" s="11"/>
      <c r="O2708" s="11"/>
      <c r="P2708" s="11"/>
    </row>
    <row r="2709" spans="8:16" x14ac:dyDescent="0.25">
      <c r="H2709" s="12"/>
      <c r="I2709" s="12"/>
      <c r="J2709" s="12"/>
      <c r="K2709" s="12"/>
      <c r="L2709" s="12"/>
      <c r="M2709" s="11"/>
      <c r="N2709" s="11"/>
      <c r="O2709" s="11"/>
      <c r="P2709" s="11"/>
    </row>
    <row r="2710" spans="8:16" x14ac:dyDescent="0.25">
      <c r="H2710" s="12"/>
      <c r="I2710" s="12"/>
      <c r="J2710" s="12"/>
      <c r="K2710" s="12"/>
      <c r="L2710" s="12"/>
      <c r="M2710" s="11"/>
      <c r="N2710" s="11"/>
      <c r="O2710" s="11"/>
      <c r="P2710" s="11"/>
    </row>
    <row r="2711" spans="8:16" x14ac:dyDescent="0.25">
      <c r="H2711" s="12"/>
      <c r="I2711" s="12"/>
      <c r="J2711" s="12"/>
      <c r="K2711" s="12"/>
      <c r="L2711" s="12"/>
      <c r="M2711" s="11"/>
      <c r="N2711" s="11"/>
      <c r="O2711" s="11"/>
      <c r="P2711" s="11"/>
    </row>
    <row r="2712" spans="8:16" x14ac:dyDescent="0.25">
      <c r="H2712" s="12"/>
      <c r="I2712" s="12"/>
      <c r="J2712" s="12"/>
      <c r="K2712" s="12"/>
      <c r="L2712" s="12"/>
      <c r="M2712" s="11"/>
      <c r="N2712" s="11"/>
      <c r="O2712" s="11"/>
      <c r="P2712" s="11"/>
    </row>
    <row r="2713" spans="8:16" x14ac:dyDescent="0.25">
      <c r="H2713" s="12"/>
      <c r="I2713" s="12"/>
      <c r="J2713" s="12"/>
      <c r="K2713" s="12"/>
      <c r="L2713" s="12"/>
      <c r="M2713" s="11"/>
      <c r="N2713" s="11"/>
      <c r="O2713" s="11"/>
      <c r="P2713" s="11"/>
    </row>
    <row r="2714" spans="8:16" x14ac:dyDescent="0.25">
      <c r="H2714" s="12"/>
      <c r="I2714" s="12"/>
      <c r="J2714" s="12"/>
      <c r="K2714" s="12"/>
      <c r="L2714" s="12"/>
      <c r="M2714" s="11"/>
      <c r="N2714" s="11"/>
      <c r="O2714" s="11"/>
      <c r="P2714" s="11"/>
    </row>
    <row r="2715" spans="8:16" x14ac:dyDescent="0.25">
      <c r="H2715" s="12"/>
      <c r="I2715" s="12"/>
      <c r="J2715" s="12"/>
      <c r="K2715" s="12"/>
      <c r="L2715" s="12"/>
      <c r="M2715" s="11"/>
      <c r="N2715" s="11"/>
      <c r="O2715" s="11"/>
      <c r="P2715" s="11"/>
    </row>
    <row r="2716" spans="8:16" x14ac:dyDescent="0.25">
      <c r="H2716" s="12"/>
      <c r="I2716" s="12"/>
      <c r="J2716" s="12"/>
      <c r="K2716" s="12"/>
      <c r="L2716" s="12"/>
      <c r="M2716" s="11"/>
      <c r="N2716" s="11"/>
      <c r="O2716" s="11"/>
      <c r="P2716" s="11"/>
    </row>
    <row r="2717" spans="8:16" x14ac:dyDescent="0.25">
      <c r="H2717" s="12"/>
      <c r="I2717" s="12"/>
      <c r="J2717" s="12"/>
      <c r="K2717" s="12"/>
      <c r="L2717" s="12"/>
      <c r="M2717" s="11"/>
      <c r="N2717" s="11"/>
      <c r="O2717" s="11"/>
      <c r="P2717" s="11"/>
    </row>
    <row r="2718" spans="8:16" x14ac:dyDescent="0.25">
      <c r="H2718" s="12"/>
      <c r="I2718" s="12"/>
      <c r="J2718" s="12"/>
      <c r="K2718" s="12"/>
      <c r="L2718" s="12"/>
      <c r="M2718" s="11"/>
      <c r="N2718" s="11"/>
      <c r="O2718" s="11"/>
      <c r="P2718" s="11"/>
    </row>
    <row r="2719" spans="8:16" x14ac:dyDescent="0.25">
      <c r="H2719" s="12"/>
      <c r="I2719" s="12"/>
      <c r="J2719" s="12"/>
      <c r="K2719" s="12"/>
      <c r="L2719" s="12"/>
      <c r="M2719" s="11"/>
      <c r="N2719" s="11"/>
      <c r="O2719" s="11"/>
      <c r="P2719" s="11"/>
    </row>
    <row r="2720" spans="8:16" x14ac:dyDescent="0.25">
      <c r="H2720" s="12"/>
      <c r="I2720" s="12"/>
      <c r="J2720" s="12"/>
      <c r="K2720" s="12"/>
      <c r="L2720" s="12"/>
      <c r="M2720" s="11"/>
      <c r="N2720" s="11"/>
      <c r="O2720" s="11"/>
      <c r="P2720" s="11"/>
    </row>
    <row r="2721" spans="8:16" x14ac:dyDescent="0.25">
      <c r="H2721" s="12"/>
      <c r="I2721" s="12"/>
      <c r="J2721" s="12"/>
      <c r="K2721" s="12"/>
      <c r="L2721" s="12"/>
      <c r="M2721" s="11"/>
      <c r="N2721" s="11"/>
      <c r="O2721" s="11"/>
      <c r="P2721" s="11"/>
    </row>
    <row r="2722" spans="8:16" x14ac:dyDescent="0.25">
      <c r="H2722" s="12"/>
      <c r="I2722" s="12"/>
      <c r="J2722" s="12"/>
      <c r="K2722" s="12"/>
      <c r="L2722" s="12"/>
      <c r="M2722" s="11"/>
      <c r="N2722" s="11"/>
      <c r="O2722" s="11"/>
      <c r="P2722" s="11"/>
    </row>
    <row r="2723" spans="8:16" x14ac:dyDescent="0.25">
      <c r="H2723" s="12"/>
      <c r="I2723" s="12"/>
      <c r="J2723" s="12"/>
      <c r="K2723" s="12"/>
      <c r="L2723" s="12"/>
      <c r="M2723" s="11"/>
      <c r="N2723" s="11"/>
      <c r="O2723" s="11"/>
      <c r="P2723" s="11"/>
    </row>
    <row r="2724" spans="8:16" x14ac:dyDescent="0.25">
      <c r="H2724" s="12"/>
      <c r="I2724" s="12"/>
      <c r="J2724" s="12"/>
      <c r="K2724" s="12"/>
      <c r="L2724" s="12"/>
      <c r="M2724" s="11"/>
      <c r="N2724" s="11"/>
      <c r="O2724" s="11"/>
      <c r="P2724" s="11"/>
    </row>
    <row r="2725" spans="8:16" x14ac:dyDescent="0.25">
      <c r="H2725" s="12"/>
      <c r="I2725" s="12"/>
      <c r="J2725" s="12"/>
      <c r="K2725" s="12"/>
      <c r="L2725" s="12"/>
      <c r="M2725" s="11"/>
      <c r="N2725" s="11"/>
      <c r="O2725" s="11"/>
      <c r="P2725" s="11"/>
    </row>
    <row r="2726" spans="8:16" x14ac:dyDescent="0.25">
      <c r="H2726" s="12"/>
      <c r="I2726" s="12"/>
      <c r="J2726" s="12"/>
      <c r="K2726" s="12"/>
      <c r="L2726" s="12"/>
      <c r="M2726" s="11"/>
      <c r="N2726" s="11"/>
      <c r="O2726" s="11"/>
      <c r="P2726" s="11"/>
    </row>
    <row r="2727" spans="8:16" x14ac:dyDescent="0.25">
      <c r="H2727" s="12"/>
      <c r="I2727" s="12"/>
      <c r="J2727" s="12"/>
      <c r="K2727" s="12"/>
      <c r="L2727" s="12"/>
      <c r="M2727" s="11"/>
      <c r="N2727" s="11"/>
      <c r="O2727" s="11"/>
      <c r="P2727" s="11"/>
    </row>
    <row r="2728" spans="8:16" x14ac:dyDescent="0.25">
      <c r="H2728" s="12"/>
      <c r="I2728" s="12"/>
      <c r="J2728" s="12"/>
      <c r="K2728" s="12"/>
      <c r="L2728" s="12"/>
      <c r="M2728" s="11"/>
      <c r="N2728" s="11"/>
      <c r="O2728" s="11"/>
      <c r="P2728" s="11"/>
    </row>
    <row r="2729" spans="8:16" x14ac:dyDescent="0.25">
      <c r="H2729" s="12"/>
      <c r="I2729" s="12"/>
      <c r="J2729" s="12"/>
      <c r="K2729" s="12"/>
      <c r="L2729" s="12"/>
      <c r="M2729" s="11"/>
      <c r="N2729" s="11"/>
      <c r="O2729" s="11"/>
      <c r="P2729" s="11"/>
    </row>
    <row r="2730" spans="8:16" x14ac:dyDescent="0.25">
      <c r="H2730" s="12"/>
      <c r="I2730" s="12"/>
      <c r="J2730" s="12"/>
      <c r="K2730" s="12"/>
      <c r="L2730" s="12"/>
      <c r="M2730" s="11"/>
      <c r="N2730" s="11"/>
      <c r="O2730" s="11"/>
      <c r="P2730" s="11"/>
    </row>
    <row r="2731" spans="8:16" x14ac:dyDescent="0.25">
      <c r="H2731" s="12"/>
      <c r="I2731" s="12"/>
      <c r="J2731" s="12"/>
      <c r="K2731" s="12"/>
      <c r="L2731" s="12"/>
      <c r="M2731" s="11"/>
      <c r="N2731" s="11"/>
      <c r="O2731" s="11"/>
      <c r="P2731" s="11"/>
    </row>
    <row r="2732" spans="8:16" x14ac:dyDescent="0.25">
      <c r="H2732" s="12"/>
      <c r="I2732" s="12"/>
      <c r="J2732" s="12"/>
      <c r="K2732" s="12"/>
      <c r="L2732" s="12"/>
      <c r="M2732" s="11"/>
      <c r="N2732" s="11"/>
      <c r="O2732" s="11"/>
      <c r="P2732" s="11"/>
    </row>
    <row r="2733" spans="8:16" x14ac:dyDescent="0.25">
      <c r="H2733" s="12"/>
      <c r="I2733" s="12"/>
      <c r="J2733" s="12"/>
      <c r="K2733" s="12"/>
      <c r="L2733" s="12"/>
      <c r="M2733" s="11"/>
      <c r="N2733" s="11"/>
      <c r="O2733" s="11"/>
      <c r="P2733" s="11"/>
    </row>
    <row r="2734" spans="8:16" x14ac:dyDescent="0.25">
      <c r="H2734" s="12"/>
      <c r="I2734" s="12"/>
      <c r="J2734" s="12"/>
      <c r="K2734" s="12"/>
      <c r="L2734" s="12"/>
      <c r="M2734" s="11"/>
      <c r="N2734" s="11"/>
      <c r="O2734" s="11"/>
      <c r="P2734" s="11"/>
    </row>
    <row r="2735" spans="8:16" x14ac:dyDescent="0.25">
      <c r="H2735" s="12"/>
      <c r="I2735" s="12"/>
      <c r="J2735" s="12"/>
      <c r="K2735" s="12"/>
      <c r="L2735" s="12"/>
      <c r="M2735" s="11"/>
      <c r="N2735" s="11"/>
      <c r="O2735" s="11"/>
      <c r="P2735" s="11"/>
    </row>
    <row r="2736" spans="8:16" x14ac:dyDescent="0.25">
      <c r="H2736" s="12"/>
      <c r="I2736" s="12"/>
      <c r="J2736" s="12"/>
      <c r="K2736" s="12"/>
      <c r="L2736" s="12"/>
      <c r="M2736" s="11"/>
      <c r="N2736" s="11"/>
      <c r="O2736" s="11"/>
      <c r="P2736" s="11"/>
    </row>
    <row r="2737" spans="8:16" x14ac:dyDescent="0.25">
      <c r="H2737" s="12"/>
      <c r="I2737" s="12"/>
      <c r="J2737" s="12"/>
      <c r="K2737" s="12"/>
      <c r="L2737" s="12"/>
      <c r="M2737" s="11"/>
      <c r="N2737" s="11"/>
      <c r="O2737" s="11"/>
      <c r="P2737" s="11"/>
    </row>
    <row r="2738" spans="8:16" x14ac:dyDescent="0.25">
      <c r="H2738" s="12"/>
      <c r="I2738" s="12"/>
      <c r="J2738" s="12"/>
      <c r="K2738" s="12"/>
      <c r="L2738" s="12"/>
      <c r="M2738" s="11"/>
      <c r="N2738" s="11"/>
      <c r="O2738" s="11"/>
      <c r="P2738" s="11"/>
    </row>
    <row r="2739" spans="8:16" x14ac:dyDescent="0.25">
      <c r="H2739" s="12"/>
      <c r="I2739" s="12"/>
      <c r="J2739" s="12"/>
      <c r="K2739" s="12"/>
      <c r="L2739" s="12"/>
      <c r="M2739" s="11"/>
      <c r="N2739" s="11"/>
      <c r="O2739" s="11"/>
      <c r="P2739" s="11"/>
    </row>
    <row r="2740" spans="8:16" x14ac:dyDescent="0.25">
      <c r="H2740" s="12"/>
      <c r="I2740" s="12"/>
      <c r="J2740" s="12"/>
      <c r="K2740" s="12"/>
      <c r="L2740" s="12"/>
      <c r="M2740" s="11"/>
      <c r="N2740" s="11"/>
      <c r="O2740" s="11"/>
      <c r="P2740" s="11"/>
    </row>
    <row r="2741" spans="8:16" x14ac:dyDescent="0.25">
      <c r="H2741" s="12"/>
      <c r="I2741" s="12"/>
      <c r="J2741" s="12"/>
      <c r="K2741" s="12"/>
      <c r="L2741" s="12"/>
      <c r="M2741" s="11"/>
      <c r="N2741" s="11"/>
      <c r="O2741" s="11"/>
      <c r="P2741" s="11"/>
    </row>
    <row r="2742" spans="8:16" x14ac:dyDescent="0.25">
      <c r="H2742" s="12"/>
      <c r="I2742" s="12"/>
      <c r="J2742" s="12"/>
      <c r="K2742" s="12"/>
      <c r="L2742" s="12"/>
      <c r="M2742" s="11"/>
      <c r="N2742" s="11"/>
      <c r="O2742" s="11"/>
      <c r="P2742" s="11"/>
    </row>
    <row r="2743" spans="8:16" x14ac:dyDescent="0.25">
      <c r="H2743" s="12"/>
      <c r="I2743" s="12"/>
      <c r="J2743" s="12"/>
      <c r="K2743" s="12"/>
      <c r="L2743" s="12"/>
      <c r="M2743" s="11"/>
      <c r="N2743" s="11"/>
      <c r="O2743" s="11"/>
      <c r="P2743" s="11"/>
    </row>
    <row r="2744" spans="8:16" x14ac:dyDescent="0.25">
      <c r="H2744" s="12"/>
      <c r="I2744" s="12"/>
      <c r="J2744" s="12"/>
      <c r="K2744" s="12"/>
      <c r="L2744" s="12"/>
      <c r="M2744" s="11"/>
      <c r="N2744" s="11"/>
      <c r="O2744" s="11"/>
      <c r="P2744" s="11"/>
    </row>
    <row r="2745" spans="8:16" x14ac:dyDescent="0.25">
      <c r="H2745" s="12"/>
      <c r="I2745" s="12"/>
      <c r="J2745" s="12"/>
      <c r="K2745" s="12"/>
      <c r="L2745" s="12"/>
      <c r="M2745" s="11"/>
      <c r="N2745" s="11"/>
      <c r="O2745" s="11"/>
      <c r="P2745" s="11"/>
    </row>
    <row r="2746" spans="8:16" x14ac:dyDescent="0.25">
      <c r="H2746" s="12"/>
      <c r="I2746" s="12"/>
      <c r="J2746" s="12"/>
      <c r="K2746" s="12"/>
      <c r="L2746" s="12"/>
      <c r="M2746" s="11"/>
      <c r="N2746" s="11"/>
      <c r="O2746" s="11"/>
      <c r="P2746" s="11"/>
    </row>
    <row r="2747" spans="8:16" x14ac:dyDescent="0.25">
      <c r="H2747" s="12"/>
      <c r="I2747" s="12"/>
      <c r="J2747" s="12"/>
      <c r="K2747" s="12"/>
      <c r="L2747" s="12"/>
      <c r="M2747" s="11"/>
      <c r="N2747" s="11"/>
      <c r="O2747" s="11"/>
      <c r="P2747" s="11"/>
    </row>
    <row r="2748" spans="8:16" x14ac:dyDescent="0.25">
      <c r="H2748" s="12"/>
      <c r="I2748" s="12"/>
      <c r="J2748" s="12"/>
      <c r="K2748" s="12"/>
      <c r="L2748" s="12"/>
      <c r="M2748" s="11"/>
      <c r="N2748" s="11"/>
      <c r="O2748" s="11"/>
      <c r="P2748" s="11"/>
    </row>
    <row r="2749" spans="8:16" x14ac:dyDescent="0.25">
      <c r="H2749" s="12"/>
      <c r="I2749" s="12"/>
      <c r="J2749" s="12"/>
      <c r="K2749" s="12"/>
      <c r="L2749" s="12"/>
      <c r="M2749" s="11"/>
      <c r="N2749" s="11"/>
      <c r="O2749" s="11"/>
      <c r="P2749" s="11"/>
    </row>
    <row r="2750" spans="8:16" x14ac:dyDescent="0.25">
      <c r="H2750" s="12"/>
      <c r="I2750" s="12"/>
      <c r="J2750" s="12"/>
      <c r="K2750" s="12"/>
      <c r="L2750" s="12"/>
      <c r="M2750" s="11"/>
      <c r="N2750" s="11"/>
      <c r="O2750" s="11"/>
      <c r="P2750" s="11"/>
    </row>
    <row r="2751" spans="8:16" x14ac:dyDescent="0.25">
      <c r="H2751" s="12"/>
      <c r="I2751" s="12"/>
      <c r="J2751" s="12"/>
      <c r="K2751" s="12"/>
      <c r="L2751" s="12"/>
      <c r="M2751" s="11"/>
      <c r="N2751" s="11"/>
      <c r="O2751" s="11"/>
      <c r="P2751" s="11"/>
    </row>
    <row r="2752" spans="8:16" x14ac:dyDescent="0.25">
      <c r="H2752" s="12"/>
      <c r="I2752" s="12"/>
      <c r="J2752" s="12"/>
      <c r="K2752" s="12"/>
      <c r="L2752" s="12"/>
      <c r="M2752" s="11"/>
      <c r="N2752" s="11"/>
      <c r="O2752" s="11"/>
      <c r="P2752" s="11"/>
    </row>
    <row r="2753" spans="8:16" x14ac:dyDescent="0.25">
      <c r="H2753" s="12"/>
      <c r="I2753" s="12"/>
      <c r="J2753" s="12"/>
      <c r="K2753" s="12"/>
      <c r="L2753" s="12"/>
      <c r="M2753" s="11"/>
      <c r="N2753" s="11"/>
      <c r="O2753" s="11"/>
      <c r="P2753" s="11"/>
    </row>
    <row r="2754" spans="8:16" x14ac:dyDescent="0.25">
      <c r="H2754" s="12"/>
      <c r="I2754" s="12"/>
      <c r="J2754" s="12"/>
      <c r="K2754" s="12"/>
      <c r="L2754" s="12"/>
      <c r="M2754" s="11"/>
      <c r="N2754" s="11"/>
      <c r="O2754" s="11"/>
      <c r="P2754" s="11"/>
    </row>
    <row r="2755" spans="8:16" x14ac:dyDescent="0.25">
      <c r="H2755" s="12"/>
      <c r="I2755" s="12"/>
      <c r="J2755" s="12"/>
      <c r="K2755" s="12"/>
      <c r="L2755" s="12"/>
      <c r="M2755" s="11"/>
      <c r="N2755" s="11"/>
      <c r="O2755" s="11"/>
      <c r="P2755" s="11"/>
    </row>
    <row r="2756" spans="8:16" x14ac:dyDescent="0.25">
      <c r="H2756" s="12"/>
      <c r="I2756" s="12"/>
      <c r="J2756" s="12"/>
      <c r="K2756" s="12"/>
      <c r="L2756" s="12"/>
      <c r="M2756" s="11"/>
      <c r="N2756" s="11"/>
      <c r="O2756" s="11"/>
      <c r="P2756" s="11"/>
    </row>
    <row r="2757" spans="8:16" x14ac:dyDescent="0.25">
      <c r="H2757" s="12"/>
      <c r="I2757" s="12"/>
      <c r="J2757" s="12"/>
      <c r="K2757" s="12"/>
      <c r="L2757" s="12"/>
      <c r="M2757" s="11"/>
      <c r="N2757" s="11"/>
      <c r="O2757" s="11"/>
      <c r="P2757" s="11"/>
    </row>
    <row r="2758" spans="8:16" x14ac:dyDescent="0.25">
      <c r="H2758" s="12"/>
      <c r="I2758" s="12"/>
      <c r="J2758" s="12"/>
      <c r="K2758" s="12"/>
      <c r="L2758" s="12"/>
      <c r="M2758" s="11"/>
      <c r="N2758" s="11"/>
      <c r="O2758" s="11"/>
      <c r="P2758" s="11"/>
    </row>
    <row r="2759" spans="8:16" x14ac:dyDescent="0.25">
      <c r="H2759" s="12"/>
      <c r="I2759" s="12"/>
      <c r="J2759" s="12"/>
      <c r="K2759" s="12"/>
      <c r="L2759" s="12"/>
      <c r="M2759" s="11"/>
      <c r="N2759" s="11"/>
      <c r="O2759" s="11"/>
      <c r="P2759" s="11"/>
    </row>
    <row r="2760" spans="8:16" x14ac:dyDescent="0.25">
      <c r="H2760" s="12"/>
      <c r="I2760" s="12"/>
      <c r="J2760" s="12"/>
      <c r="K2760" s="12"/>
      <c r="L2760" s="12"/>
      <c r="M2760" s="11"/>
      <c r="N2760" s="11"/>
      <c r="O2760" s="11"/>
      <c r="P2760" s="11"/>
    </row>
    <row r="2761" spans="8:16" x14ac:dyDescent="0.25">
      <c r="H2761" s="12"/>
      <c r="I2761" s="12"/>
      <c r="J2761" s="12"/>
      <c r="K2761" s="12"/>
      <c r="L2761" s="12"/>
      <c r="M2761" s="11"/>
      <c r="N2761" s="11"/>
      <c r="O2761" s="11"/>
      <c r="P2761" s="11"/>
    </row>
    <row r="2762" spans="8:16" x14ac:dyDescent="0.25">
      <c r="H2762" s="12"/>
      <c r="I2762" s="12"/>
      <c r="J2762" s="12"/>
      <c r="K2762" s="12"/>
      <c r="L2762" s="12"/>
      <c r="M2762" s="11"/>
      <c r="N2762" s="11"/>
      <c r="O2762" s="11"/>
      <c r="P2762" s="11"/>
    </row>
    <row r="2763" spans="8:16" x14ac:dyDescent="0.25">
      <c r="H2763" s="12"/>
      <c r="I2763" s="12"/>
      <c r="J2763" s="12"/>
      <c r="K2763" s="12"/>
      <c r="L2763" s="12"/>
      <c r="M2763" s="11"/>
      <c r="N2763" s="11"/>
      <c r="O2763" s="11"/>
      <c r="P2763" s="11"/>
    </row>
    <row r="2764" spans="8:16" x14ac:dyDescent="0.25">
      <c r="H2764" s="12"/>
      <c r="I2764" s="12"/>
      <c r="J2764" s="12"/>
      <c r="K2764" s="12"/>
      <c r="L2764" s="12"/>
      <c r="M2764" s="11"/>
      <c r="N2764" s="11"/>
      <c r="O2764" s="11"/>
      <c r="P2764" s="11"/>
    </row>
    <row r="2765" spans="8:16" x14ac:dyDescent="0.25">
      <c r="H2765" s="12"/>
      <c r="I2765" s="12"/>
      <c r="J2765" s="12"/>
      <c r="K2765" s="12"/>
      <c r="L2765" s="12"/>
      <c r="M2765" s="11"/>
      <c r="N2765" s="11"/>
      <c r="O2765" s="11"/>
      <c r="P2765" s="11"/>
    </row>
    <row r="2766" spans="8:16" x14ac:dyDescent="0.25">
      <c r="H2766" s="12"/>
      <c r="I2766" s="12"/>
      <c r="J2766" s="12"/>
      <c r="K2766" s="12"/>
      <c r="L2766" s="12"/>
      <c r="M2766" s="11"/>
      <c r="N2766" s="11"/>
      <c r="O2766" s="11"/>
      <c r="P2766" s="11"/>
    </row>
    <row r="2767" spans="8:16" x14ac:dyDescent="0.25">
      <c r="H2767" s="12"/>
      <c r="I2767" s="12"/>
      <c r="J2767" s="12"/>
      <c r="K2767" s="12"/>
      <c r="L2767" s="12"/>
      <c r="M2767" s="11"/>
      <c r="N2767" s="11"/>
      <c r="O2767" s="11"/>
      <c r="P2767" s="11"/>
    </row>
    <row r="2768" spans="8:16" x14ac:dyDescent="0.25">
      <c r="H2768" s="12"/>
      <c r="I2768" s="12"/>
      <c r="J2768" s="12"/>
      <c r="K2768" s="12"/>
      <c r="L2768" s="12"/>
      <c r="M2768" s="11"/>
      <c r="N2768" s="11"/>
      <c r="O2768" s="11"/>
      <c r="P2768" s="11"/>
    </row>
    <row r="2769" spans="8:16" x14ac:dyDescent="0.25">
      <c r="H2769" s="12"/>
      <c r="I2769" s="12"/>
      <c r="J2769" s="12"/>
      <c r="K2769" s="12"/>
      <c r="L2769" s="12"/>
      <c r="M2769" s="11"/>
      <c r="N2769" s="11"/>
      <c r="O2769" s="11"/>
      <c r="P2769" s="11"/>
    </row>
    <row r="2770" spans="8:16" x14ac:dyDescent="0.25">
      <c r="H2770" s="12"/>
      <c r="I2770" s="12"/>
      <c r="J2770" s="12"/>
      <c r="K2770" s="12"/>
      <c r="L2770" s="12"/>
      <c r="M2770" s="11"/>
      <c r="N2770" s="11"/>
      <c r="O2770" s="11"/>
      <c r="P2770" s="11"/>
    </row>
    <row r="2771" spans="8:16" x14ac:dyDescent="0.25">
      <c r="H2771" s="12"/>
      <c r="I2771" s="12"/>
      <c r="J2771" s="12"/>
      <c r="K2771" s="12"/>
      <c r="L2771" s="12"/>
      <c r="M2771" s="11"/>
      <c r="N2771" s="11"/>
      <c r="O2771" s="11"/>
      <c r="P2771" s="11"/>
    </row>
    <row r="2772" spans="8:16" x14ac:dyDescent="0.25">
      <c r="H2772" s="12"/>
      <c r="I2772" s="12"/>
      <c r="J2772" s="12"/>
      <c r="K2772" s="12"/>
      <c r="L2772" s="12"/>
      <c r="M2772" s="11"/>
      <c r="N2772" s="11"/>
      <c r="O2772" s="11"/>
      <c r="P2772" s="11"/>
    </row>
    <row r="2773" spans="8:16" x14ac:dyDescent="0.25">
      <c r="H2773" s="12"/>
      <c r="I2773" s="12"/>
      <c r="J2773" s="12"/>
      <c r="K2773" s="12"/>
      <c r="L2773" s="12"/>
      <c r="M2773" s="11"/>
      <c r="N2773" s="11"/>
      <c r="O2773" s="11"/>
      <c r="P2773" s="11"/>
    </row>
    <row r="2774" spans="8:16" x14ac:dyDescent="0.25">
      <c r="H2774" s="12"/>
      <c r="I2774" s="12"/>
      <c r="J2774" s="12"/>
      <c r="K2774" s="12"/>
      <c r="L2774" s="12"/>
      <c r="M2774" s="11"/>
      <c r="N2774" s="11"/>
      <c r="O2774" s="11"/>
      <c r="P2774" s="11"/>
    </row>
    <row r="2775" spans="8:16" x14ac:dyDescent="0.25">
      <c r="H2775" s="12"/>
      <c r="I2775" s="12"/>
      <c r="J2775" s="12"/>
      <c r="K2775" s="12"/>
      <c r="L2775" s="12"/>
      <c r="M2775" s="11"/>
      <c r="N2775" s="11"/>
      <c r="O2775" s="11"/>
      <c r="P2775" s="11"/>
    </row>
    <row r="2776" spans="8:16" x14ac:dyDescent="0.25">
      <c r="H2776" s="12"/>
      <c r="I2776" s="12"/>
      <c r="J2776" s="12"/>
      <c r="K2776" s="12"/>
      <c r="L2776" s="12"/>
      <c r="M2776" s="11"/>
      <c r="N2776" s="11"/>
      <c r="O2776" s="11"/>
      <c r="P2776" s="11"/>
    </row>
    <row r="2777" spans="8:16" x14ac:dyDescent="0.25">
      <c r="H2777" s="12"/>
      <c r="I2777" s="12"/>
      <c r="J2777" s="12"/>
      <c r="K2777" s="12"/>
      <c r="L2777" s="12"/>
      <c r="M2777" s="11"/>
      <c r="N2777" s="11"/>
      <c r="O2777" s="11"/>
      <c r="P2777" s="11"/>
    </row>
    <row r="2778" spans="8:16" x14ac:dyDescent="0.25">
      <c r="H2778" s="12"/>
      <c r="I2778" s="12"/>
      <c r="J2778" s="12"/>
      <c r="K2778" s="12"/>
      <c r="L2778" s="12"/>
      <c r="M2778" s="11"/>
      <c r="N2778" s="11"/>
      <c r="O2778" s="11"/>
      <c r="P2778" s="11"/>
    </row>
    <row r="2779" spans="8:16" x14ac:dyDescent="0.25">
      <c r="H2779" s="12"/>
      <c r="I2779" s="12"/>
      <c r="J2779" s="12"/>
      <c r="K2779" s="12"/>
      <c r="L2779" s="12"/>
      <c r="M2779" s="11"/>
      <c r="N2779" s="11"/>
      <c r="O2779" s="11"/>
      <c r="P2779" s="11"/>
    </row>
    <row r="2780" spans="8:16" x14ac:dyDescent="0.25">
      <c r="H2780" s="12"/>
      <c r="I2780" s="12"/>
      <c r="J2780" s="12"/>
      <c r="K2780" s="12"/>
      <c r="L2780" s="12"/>
      <c r="M2780" s="11"/>
      <c r="N2780" s="11"/>
      <c r="O2780" s="11"/>
      <c r="P2780" s="11"/>
    </row>
    <row r="2781" spans="8:16" x14ac:dyDescent="0.25">
      <c r="H2781" s="12"/>
      <c r="I2781" s="12"/>
      <c r="J2781" s="12"/>
      <c r="K2781" s="12"/>
      <c r="L2781" s="12"/>
      <c r="M2781" s="11"/>
      <c r="N2781" s="11"/>
      <c r="O2781" s="11"/>
      <c r="P2781" s="11"/>
    </row>
    <row r="2782" spans="8:16" x14ac:dyDescent="0.25">
      <c r="H2782" s="12"/>
      <c r="I2782" s="12"/>
      <c r="J2782" s="12"/>
      <c r="K2782" s="12"/>
      <c r="L2782" s="12"/>
      <c r="M2782" s="11"/>
      <c r="N2782" s="11"/>
      <c r="O2782" s="11"/>
      <c r="P2782" s="11"/>
    </row>
    <row r="2783" spans="8:16" x14ac:dyDescent="0.25">
      <c r="H2783" s="12"/>
      <c r="I2783" s="12"/>
      <c r="J2783" s="12"/>
      <c r="K2783" s="12"/>
      <c r="L2783" s="12"/>
      <c r="M2783" s="11"/>
      <c r="N2783" s="11"/>
      <c r="O2783" s="11"/>
      <c r="P2783" s="11"/>
    </row>
    <row r="2784" spans="8:16" x14ac:dyDescent="0.25">
      <c r="H2784" s="12"/>
      <c r="I2784" s="12"/>
      <c r="J2784" s="12"/>
      <c r="K2784" s="12"/>
      <c r="L2784" s="12"/>
      <c r="M2784" s="11"/>
      <c r="N2784" s="11"/>
      <c r="O2784" s="11"/>
      <c r="P2784" s="11"/>
    </row>
    <row r="2785" spans="8:16" x14ac:dyDescent="0.25">
      <c r="H2785" s="12"/>
      <c r="I2785" s="12"/>
      <c r="J2785" s="12"/>
      <c r="K2785" s="12"/>
      <c r="L2785" s="12"/>
      <c r="M2785" s="11"/>
      <c r="N2785" s="11"/>
      <c r="O2785" s="11"/>
      <c r="P2785" s="11"/>
    </row>
    <row r="2786" spans="8:16" x14ac:dyDescent="0.25">
      <c r="H2786" s="12"/>
      <c r="I2786" s="12"/>
      <c r="J2786" s="12"/>
      <c r="K2786" s="12"/>
      <c r="L2786" s="12"/>
      <c r="M2786" s="11"/>
      <c r="N2786" s="11"/>
      <c r="O2786" s="11"/>
      <c r="P2786" s="11"/>
    </row>
    <row r="2787" spans="8:16" x14ac:dyDescent="0.25">
      <c r="H2787" s="12"/>
      <c r="I2787" s="12"/>
      <c r="J2787" s="12"/>
      <c r="K2787" s="12"/>
      <c r="L2787" s="12"/>
      <c r="M2787" s="11"/>
      <c r="N2787" s="11"/>
      <c r="O2787" s="11"/>
      <c r="P2787" s="11"/>
    </row>
    <row r="2788" spans="8:16" x14ac:dyDescent="0.25">
      <c r="H2788" s="12"/>
      <c r="I2788" s="12"/>
      <c r="J2788" s="12"/>
      <c r="K2788" s="12"/>
      <c r="L2788" s="12"/>
      <c r="M2788" s="11"/>
      <c r="N2788" s="11"/>
      <c r="O2788" s="11"/>
      <c r="P2788" s="11"/>
    </row>
    <row r="2789" spans="8:16" x14ac:dyDescent="0.25">
      <c r="H2789" s="12"/>
      <c r="I2789" s="12"/>
      <c r="J2789" s="12"/>
      <c r="K2789" s="12"/>
      <c r="L2789" s="12"/>
      <c r="M2789" s="11"/>
      <c r="N2789" s="11"/>
      <c r="O2789" s="11"/>
      <c r="P2789" s="11"/>
    </row>
    <row r="2790" spans="8:16" x14ac:dyDescent="0.25">
      <c r="H2790" s="12"/>
      <c r="I2790" s="12"/>
      <c r="J2790" s="12"/>
      <c r="K2790" s="12"/>
      <c r="L2790" s="12"/>
      <c r="M2790" s="11"/>
      <c r="N2790" s="11"/>
      <c r="O2790" s="11"/>
      <c r="P2790" s="11"/>
    </row>
    <row r="2791" spans="8:16" x14ac:dyDescent="0.25">
      <c r="H2791" s="12"/>
      <c r="I2791" s="12"/>
      <c r="J2791" s="12"/>
      <c r="K2791" s="12"/>
      <c r="L2791" s="12"/>
      <c r="M2791" s="11"/>
      <c r="N2791" s="11"/>
      <c r="O2791" s="11"/>
      <c r="P2791" s="11"/>
    </row>
    <row r="2792" spans="8:16" x14ac:dyDescent="0.25">
      <c r="H2792" s="12"/>
      <c r="I2792" s="12"/>
      <c r="J2792" s="12"/>
      <c r="K2792" s="12"/>
      <c r="L2792" s="12"/>
      <c r="M2792" s="11"/>
      <c r="N2792" s="11"/>
      <c r="O2792" s="11"/>
      <c r="P2792" s="11"/>
    </row>
    <row r="2793" spans="8:16" x14ac:dyDescent="0.25">
      <c r="H2793" s="12"/>
      <c r="I2793" s="12"/>
      <c r="J2793" s="12"/>
      <c r="K2793" s="12"/>
      <c r="L2793" s="12"/>
      <c r="M2793" s="11"/>
      <c r="N2793" s="11"/>
      <c r="O2793" s="11"/>
      <c r="P2793" s="11"/>
    </row>
    <row r="2794" spans="8:16" x14ac:dyDescent="0.25">
      <c r="H2794" s="12"/>
      <c r="I2794" s="12"/>
      <c r="J2794" s="12"/>
      <c r="K2794" s="12"/>
      <c r="L2794" s="12"/>
      <c r="M2794" s="11"/>
      <c r="N2794" s="11"/>
      <c r="O2794" s="11"/>
      <c r="P2794" s="11"/>
    </row>
    <row r="2795" spans="8:16" x14ac:dyDescent="0.25">
      <c r="H2795" s="12"/>
      <c r="I2795" s="12"/>
      <c r="J2795" s="12"/>
      <c r="K2795" s="12"/>
      <c r="L2795" s="12"/>
      <c r="M2795" s="11"/>
      <c r="N2795" s="11"/>
      <c r="O2795" s="11"/>
      <c r="P2795" s="11"/>
    </row>
    <row r="2796" spans="8:16" x14ac:dyDescent="0.25">
      <c r="H2796" s="12"/>
      <c r="I2796" s="12"/>
      <c r="J2796" s="12"/>
      <c r="K2796" s="12"/>
      <c r="L2796" s="12"/>
      <c r="M2796" s="11"/>
      <c r="N2796" s="11"/>
      <c r="O2796" s="11"/>
      <c r="P2796" s="11"/>
    </row>
    <row r="2797" spans="8:16" x14ac:dyDescent="0.25">
      <c r="H2797" s="12"/>
      <c r="I2797" s="12"/>
      <c r="J2797" s="12"/>
      <c r="K2797" s="12"/>
      <c r="L2797" s="12"/>
      <c r="M2797" s="11"/>
      <c r="N2797" s="11"/>
      <c r="O2797" s="11"/>
      <c r="P2797" s="11"/>
    </row>
    <row r="2798" spans="8:16" x14ac:dyDescent="0.25">
      <c r="H2798" s="12"/>
      <c r="I2798" s="12"/>
      <c r="J2798" s="12"/>
      <c r="K2798" s="12"/>
      <c r="L2798" s="12"/>
      <c r="M2798" s="11"/>
      <c r="N2798" s="11"/>
      <c r="O2798" s="11"/>
      <c r="P2798" s="11"/>
    </row>
    <row r="2799" spans="8:16" x14ac:dyDescent="0.25">
      <c r="H2799" s="12"/>
      <c r="I2799" s="12"/>
      <c r="J2799" s="12"/>
      <c r="K2799" s="12"/>
      <c r="L2799" s="12"/>
      <c r="M2799" s="11"/>
      <c r="N2799" s="11"/>
      <c r="O2799" s="11"/>
      <c r="P2799" s="11"/>
    </row>
    <row r="2800" spans="8:16" x14ac:dyDescent="0.25">
      <c r="H2800" s="12"/>
      <c r="I2800" s="12"/>
      <c r="J2800" s="12"/>
      <c r="K2800" s="12"/>
      <c r="L2800" s="12"/>
      <c r="M2800" s="11"/>
      <c r="N2800" s="11"/>
      <c r="O2800" s="11"/>
      <c r="P2800" s="11"/>
    </row>
    <row r="2801" spans="8:16" x14ac:dyDescent="0.25">
      <c r="H2801" s="12"/>
      <c r="I2801" s="12"/>
      <c r="J2801" s="12"/>
      <c r="K2801" s="12"/>
      <c r="L2801" s="12"/>
      <c r="M2801" s="11"/>
      <c r="N2801" s="11"/>
      <c r="O2801" s="11"/>
      <c r="P2801" s="11"/>
    </row>
    <row r="2802" spans="8:16" x14ac:dyDescent="0.25">
      <c r="H2802" s="12"/>
      <c r="I2802" s="12"/>
      <c r="J2802" s="12"/>
      <c r="K2802" s="12"/>
      <c r="L2802" s="12"/>
      <c r="M2802" s="11"/>
      <c r="N2802" s="11"/>
      <c r="O2802" s="11"/>
      <c r="P2802" s="11"/>
    </row>
    <row r="2803" spans="8:16" x14ac:dyDescent="0.25">
      <c r="H2803" s="12"/>
      <c r="I2803" s="12"/>
      <c r="J2803" s="12"/>
      <c r="K2803" s="12"/>
      <c r="L2803" s="12"/>
      <c r="M2803" s="11"/>
      <c r="N2803" s="11"/>
      <c r="O2803" s="11"/>
      <c r="P2803" s="11"/>
    </row>
    <row r="2804" spans="8:16" x14ac:dyDescent="0.25">
      <c r="H2804" s="12"/>
      <c r="I2804" s="12"/>
      <c r="J2804" s="12"/>
      <c r="K2804" s="12"/>
      <c r="L2804" s="12"/>
      <c r="M2804" s="11"/>
      <c r="N2804" s="11"/>
      <c r="O2804" s="11"/>
      <c r="P2804" s="11"/>
    </row>
    <row r="2805" spans="8:16" x14ac:dyDescent="0.25">
      <c r="H2805" s="12"/>
      <c r="I2805" s="12"/>
      <c r="J2805" s="12"/>
      <c r="K2805" s="12"/>
      <c r="L2805" s="12"/>
      <c r="M2805" s="11"/>
      <c r="N2805" s="11"/>
      <c r="O2805" s="11"/>
      <c r="P2805" s="11"/>
    </row>
    <row r="2806" spans="8:16" x14ac:dyDescent="0.25">
      <c r="H2806" s="12"/>
      <c r="I2806" s="12"/>
      <c r="J2806" s="12"/>
      <c r="K2806" s="12"/>
      <c r="L2806" s="12"/>
      <c r="M2806" s="11"/>
      <c r="N2806" s="11"/>
      <c r="O2806" s="11"/>
      <c r="P2806" s="11"/>
    </row>
    <row r="2807" spans="8:16" x14ac:dyDescent="0.25">
      <c r="H2807" s="12"/>
      <c r="I2807" s="12"/>
      <c r="J2807" s="12"/>
      <c r="K2807" s="12"/>
      <c r="L2807" s="12"/>
      <c r="M2807" s="11"/>
      <c r="N2807" s="11"/>
      <c r="O2807" s="11"/>
      <c r="P2807" s="11"/>
    </row>
    <row r="2808" spans="8:16" x14ac:dyDescent="0.25">
      <c r="H2808" s="12"/>
      <c r="I2808" s="12"/>
      <c r="J2808" s="12"/>
      <c r="K2808" s="12"/>
      <c r="L2808" s="12"/>
      <c r="M2808" s="11"/>
      <c r="N2808" s="11"/>
      <c r="O2808" s="11"/>
      <c r="P2808" s="11"/>
    </row>
    <row r="2809" spans="8:16" x14ac:dyDescent="0.25">
      <c r="H2809" s="12"/>
      <c r="I2809" s="12"/>
      <c r="J2809" s="12"/>
      <c r="K2809" s="12"/>
      <c r="L2809" s="12"/>
      <c r="M2809" s="11"/>
      <c r="N2809" s="11"/>
      <c r="O2809" s="11"/>
      <c r="P2809" s="11"/>
    </row>
    <row r="2810" spans="8:16" x14ac:dyDescent="0.25">
      <c r="H2810" s="12"/>
      <c r="I2810" s="12"/>
      <c r="J2810" s="12"/>
      <c r="K2810" s="12"/>
      <c r="L2810" s="12"/>
      <c r="M2810" s="11"/>
      <c r="N2810" s="11"/>
      <c r="O2810" s="11"/>
      <c r="P2810" s="11"/>
    </row>
    <row r="2811" spans="8:16" x14ac:dyDescent="0.25">
      <c r="H2811" s="12"/>
      <c r="I2811" s="12"/>
      <c r="J2811" s="12"/>
      <c r="K2811" s="12"/>
      <c r="L2811" s="12"/>
      <c r="M2811" s="11"/>
      <c r="N2811" s="11"/>
      <c r="O2811" s="11"/>
      <c r="P2811" s="11"/>
    </row>
    <row r="2812" spans="8:16" x14ac:dyDescent="0.25">
      <c r="H2812" s="12"/>
      <c r="I2812" s="12"/>
      <c r="J2812" s="12"/>
      <c r="K2812" s="12"/>
      <c r="L2812" s="12"/>
      <c r="M2812" s="11"/>
      <c r="N2812" s="11"/>
      <c r="O2812" s="11"/>
      <c r="P2812" s="11"/>
    </row>
    <row r="2813" spans="8:16" x14ac:dyDescent="0.25">
      <c r="H2813" s="12"/>
      <c r="I2813" s="12"/>
      <c r="J2813" s="12"/>
      <c r="K2813" s="12"/>
      <c r="L2813" s="12"/>
      <c r="M2813" s="11"/>
      <c r="N2813" s="11"/>
      <c r="O2813" s="11"/>
      <c r="P2813" s="11"/>
    </row>
    <row r="2814" spans="8:16" x14ac:dyDescent="0.25">
      <c r="H2814" s="12"/>
      <c r="I2814" s="12"/>
      <c r="J2814" s="12"/>
      <c r="K2814" s="12"/>
      <c r="L2814" s="12"/>
      <c r="M2814" s="11"/>
      <c r="N2814" s="11"/>
      <c r="O2814" s="11"/>
      <c r="P2814" s="11"/>
    </row>
    <row r="2815" spans="8:16" x14ac:dyDescent="0.25">
      <c r="H2815" s="12"/>
      <c r="I2815" s="12"/>
      <c r="J2815" s="12"/>
      <c r="K2815" s="12"/>
      <c r="L2815" s="12"/>
      <c r="M2815" s="11"/>
      <c r="N2815" s="11"/>
      <c r="O2815" s="11"/>
      <c r="P2815" s="11"/>
    </row>
    <row r="2816" spans="8:16" x14ac:dyDescent="0.25">
      <c r="H2816" s="12"/>
      <c r="I2816" s="12"/>
      <c r="J2816" s="12"/>
      <c r="K2816" s="12"/>
      <c r="L2816" s="12"/>
      <c r="M2816" s="11"/>
      <c r="N2816" s="11"/>
      <c r="O2816" s="11"/>
      <c r="P2816" s="11"/>
    </row>
    <row r="2817" spans="8:16" x14ac:dyDescent="0.25">
      <c r="H2817" s="12"/>
      <c r="I2817" s="12"/>
      <c r="J2817" s="12"/>
      <c r="K2817" s="12"/>
      <c r="L2817" s="12"/>
      <c r="M2817" s="11"/>
      <c r="N2817" s="11"/>
      <c r="O2817" s="11"/>
      <c r="P2817" s="11"/>
    </row>
    <row r="2818" spans="8:16" x14ac:dyDescent="0.25">
      <c r="H2818" s="12"/>
      <c r="I2818" s="12"/>
      <c r="J2818" s="12"/>
      <c r="K2818" s="12"/>
      <c r="L2818" s="12"/>
      <c r="M2818" s="11"/>
      <c r="N2818" s="11"/>
      <c r="O2818" s="11"/>
      <c r="P2818" s="11"/>
    </row>
    <row r="2819" spans="8:16" x14ac:dyDescent="0.25">
      <c r="H2819" s="12"/>
      <c r="I2819" s="12"/>
      <c r="J2819" s="12"/>
      <c r="K2819" s="12"/>
      <c r="L2819" s="12"/>
      <c r="M2819" s="11"/>
      <c r="N2819" s="11"/>
      <c r="O2819" s="11"/>
      <c r="P2819" s="11"/>
    </row>
    <row r="2820" spans="8:16" x14ac:dyDescent="0.25">
      <c r="H2820" s="12"/>
      <c r="I2820" s="12"/>
      <c r="J2820" s="12"/>
      <c r="K2820" s="12"/>
      <c r="L2820" s="12"/>
      <c r="M2820" s="11"/>
      <c r="N2820" s="11"/>
      <c r="O2820" s="11"/>
      <c r="P2820" s="11"/>
    </row>
    <row r="2821" spans="8:16" x14ac:dyDescent="0.25">
      <c r="H2821" s="12"/>
      <c r="I2821" s="12"/>
      <c r="J2821" s="12"/>
      <c r="K2821" s="12"/>
      <c r="L2821" s="12"/>
      <c r="M2821" s="11"/>
      <c r="N2821" s="11"/>
      <c r="O2821" s="11"/>
      <c r="P2821" s="11"/>
    </row>
    <row r="2822" spans="8:16" x14ac:dyDescent="0.25">
      <c r="H2822" s="12"/>
      <c r="I2822" s="12"/>
      <c r="J2822" s="12"/>
      <c r="K2822" s="12"/>
      <c r="L2822" s="12"/>
      <c r="M2822" s="11"/>
      <c r="N2822" s="11"/>
      <c r="O2822" s="11"/>
      <c r="P2822" s="11"/>
    </row>
    <row r="2823" spans="8:16" x14ac:dyDescent="0.25">
      <c r="H2823" s="12"/>
      <c r="I2823" s="12"/>
      <c r="J2823" s="12"/>
      <c r="K2823" s="12"/>
      <c r="L2823" s="12"/>
      <c r="M2823" s="11"/>
      <c r="N2823" s="11"/>
      <c r="O2823" s="11"/>
      <c r="P2823" s="11"/>
    </row>
    <row r="2824" spans="8:16" x14ac:dyDescent="0.25">
      <c r="H2824" s="12"/>
      <c r="I2824" s="12"/>
      <c r="J2824" s="12"/>
      <c r="K2824" s="12"/>
      <c r="L2824" s="12"/>
      <c r="M2824" s="11"/>
      <c r="N2824" s="11"/>
      <c r="O2824" s="11"/>
      <c r="P2824" s="11"/>
    </row>
    <row r="2825" spans="8:16" x14ac:dyDescent="0.25">
      <c r="H2825" s="12"/>
      <c r="I2825" s="12"/>
      <c r="J2825" s="12"/>
      <c r="K2825" s="12"/>
      <c r="L2825" s="12"/>
      <c r="M2825" s="11"/>
      <c r="N2825" s="11"/>
      <c r="O2825" s="11"/>
      <c r="P2825" s="11"/>
    </row>
    <row r="2826" spans="8:16" x14ac:dyDescent="0.25">
      <c r="H2826" s="12"/>
      <c r="I2826" s="12"/>
      <c r="J2826" s="12"/>
      <c r="K2826" s="12"/>
      <c r="L2826" s="12"/>
      <c r="M2826" s="11"/>
      <c r="N2826" s="11"/>
      <c r="O2826" s="11"/>
      <c r="P2826" s="11"/>
    </row>
    <row r="2827" spans="8:16" x14ac:dyDescent="0.25">
      <c r="H2827" s="12"/>
      <c r="I2827" s="12"/>
      <c r="J2827" s="12"/>
      <c r="K2827" s="12"/>
      <c r="L2827" s="12"/>
      <c r="M2827" s="11"/>
      <c r="N2827" s="11"/>
      <c r="O2827" s="11"/>
      <c r="P2827" s="11"/>
    </row>
    <row r="2828" spans="8:16" x14ac:dyDescent="0.25">
      <c r="H2828" s="12"/>
      <c r="I2828" s="12"/>
      <c r="J2828" s="12"/>
      <c r="K2828" s="12"/>
      <c r="L2828" s="12"/>
      <c r="M2828" s="11"/>
      <c r="N2828" s="11"/>
      <c r="O2828" s="11"/>
      <c r="P2828" s="11"/>
    </row>
    <row r="2829" spans="8:16" x14ac:dyDescent="0.25">
      <c r="H2829" s="12"/>
      <c r="I2829" s="12"/>
      <c r="J2829" s="12"/>
      <c r="K2829" s="12"/>
      <c r="L2829" s="12"/>
      <c r="M2829" s="11"/>
      <c r="N2829" s="11"/>
      <c r="O2829" s="11"/>
      <c r="P2829" s="11"/>
    </row>
    <row r="2830" spans="8:16" x14ac:dyDescent="0.25">
      <c r="H2830" s="12"/>
      <c r="I2830" s="12"/>
      <c r="J2830" s="12"/>
      <c r="K2830" s="12"/>
      <c r="L2830" s="12"/>
      <c r="M2830" s="11"/>
      <c r="N2830" s="11"/>
      <c r="O2830" s="11"/>
      <c r="P2830" s="11"/>
    </row>
    <row r="2831" spans="8:16" x14ac:dyDescent="0.25">
      <c r="H2831" s="12"/>
      <c r="I2831" s="12"/>
      <c r="J2831" s="12"/>
      <c r="K2831" s="12"/>
      <c r="L2831" s="12"/>
      <c r="M2831" s="11"/>
      <c r="N2831" s="11"/>
      <c r="O2831" s="11"/>
      <c r="P2831" s="11"/>
    </row>
    <row r="2832" spans="8:16" x14ac:dyDescent="0.25">
      <c r="H2832" s="12"/>
      <c r="I2832" s="12"/>
      <c r="J2832" s="12"/>
      <c r="K2832" s="12"/>
      <c r="L2832" s="12"/>
      <c r="M2832" s="11"/>
      <c r="N2832" s="11"/>
      <c r="O2832" s="11"/>
      <c r="P2832" s="11"/>
    </row>
    <row r="2833" spans="8:16" x14ac:dyDescent="0.25">
      <c r="H2833" s="12"/>
      <c r="I2833" s="12"/>
      <c r="J2833" s="12"/>
      <c r="K2833" s="12"/>
      <c r="L2833" s="12"/>
      <c r="M2833" s="11"/>
      <c r="N2833" s="11"/>
      <c r="O2833" s="11"/>
      <c r="P2833" s="11"/>
    </row>
    <row r="2834" spans="8:16" x14ac:dyDescent="0.25">
      <c r="H2834" s="12"/>
      <c r="I2834" s="12"/>
      <c r="J2834" s="12"/>
      <c r="K2834" s="12"/>
      <c r="L2834" s="12"/>
      <c r="M2834" s="11"/>
      <c r="N2834" s="11"/>
      <c r="O2834" s="11"/>
      <c r="P2834" s="11"/>
    </row>
    <row r="2835" spans="8:16" x14ac:dyDescent="0.25">
      <c r="H2835" s="12"/>
      <c r="I2835" s="12"/>
      <c r="J2835" s="12"/>
      <c r="K2835" s="12"/>
      <c r="L2835" s="12"/>
      <c r="M2835" s="11"/>
      <c r="N2835" s="11"/>
      <c r="O2835" s="11"/>
      <c r="P2835" s="11"/>
    </row>
    <row r="2836" spans="8:16" x14ac:dyDescent="0.25">
      <c r="H2836" s="12"/>
      <c r="I2836" s="12"/>
      <c r="J2836" s="12"/>
      <c r="K2836" s="12"/>
      <c r="L2836" s="12"/>
      <c r="M2836" s="11"/>
      <c r="N2836" s="11"/>
      <c r="O2836" s="11"/>
      <c r="P2836" s="11"/>
    </row>
    <row r="2837" spans="8:16" x14ac:dyDescent="0.25">
      <c r="H2837" s="12"/>
      <c r="I2837" s="12"/>
      <c r="J2837" s="12"/>
      <c r="K2837" s="12"/>
      <c r="L2837" s="12"/>
      <c r="M2837" s="11"/>
      <c r="N2837" s="11"/>
      <c r="O2837" s="11"/>
      <c r="P2837" s="11"/>
    </row>
    <row r="2838" spans="8:16" x14ac:dyDescent="0.25">
      <c r="H2838" s="12"/>
      <c r="I2838" s="12"/>
      <c r="J2838" s="12"/>
      <c r="K2838" s="12"/>
      <c r="L2838" s="12"/>
      <c r="M2838" s="11"/>
      <c r="N2838" s="11"/>
      <c r="O2838" s="11"/>
      <c r="P2838" s="11"/>
    </row>
    <row r="2839" spans="8:16" x14ac:dyDescent="0.25">
      <c r="H2839" s="12"/>
      <c r="I2839" s="12"/>
      <c r="J2839" s="12"/>
      <c r="K2839" s="12"/>
      <c r="L2839" s="12"/>
      <c r="M2839" s="11"/>
      <c r="N2839" s="11"/>
      <c r="O2839" s="11"/>
      <c r="P2839" s="11"/>
    </row>
    <row r="2840" spans="8:16" x14ac:dyDescent="0.25">
      <c r="H2840" s="12"/>
      <c r="I2840" s="12"/>
      <c r="J2840" s="12"/>
      <c r="K2840" s="12"/>
      <c r="L2840" s="12"/>
      <c r="M2840" s="11"/>
      <c r="N2840" s="11"/>
      <c r="O2840" s="11"/>
      <c r="P2840" s="11"/>
    </row>
    <row r="2841" spans="8:16" x14ac:dyDescent="0.25">
      <c r="H2841" s="12"/>
      <c r="I2841" s="12"/>
      <c r="J2841" s="12"/>
      <c r="K2841" s="12"/>
      <c r="L2841" s="12"/>
      <c r="M2841" s="11"/>
      <c r="N2841" s="11"/>
      <c r="O2841" s="11"/>
      <c r="P2841" s="11"/>
    </row>
    <row r="2842" spans="8:16" x14ac:dyDescent="0.25">
      <c r="H2842" s="12"/>
      <c r="I2842" s="12"/>
      <c r="J2842" s="12"/>
      <c r="K2842" s="12"/>
      <c r="L2842" s="12"/>
      <c r="M2842" s="11"/>
      <c r="N2842" s="11"/>
      <c r="O2842" s="11"/>
      <c r="P2842" s="11"/>
    </row>
    <row r="2843" spans="8:16" x14ac:dyDescent="0.25">
      <c r="H2843" s="12"/>
      <c r="I2843" s="12"/>
      <c r="J2843" s="12"/>
      <c r="K2843" s="12"/>
      <c r="L2843" s="12"/>
      <c r="M2843" s="11"/>
      <c r="N2843" s="11"/>
      <c r="O2843" s="11"/>
      <c r="P2843" s="11"/>
    </row>
    <row r="2844" spans="8:16" x14ac:dyDescent="0.25">
      <c r="H2844" s="12"/>
      <c r="I2844" s="12"/>
      <c r="J2844" s="12"/>
      <c r="K2844" s="12"/>
      <c r="L2844" s="12"/>
      <c r="M2844" s="11"/>
      <c r="N2844" s="11"/>
      <c r="O2844" s="11"/>
      <c r="P2844" s="11"/>
    </row>
    <row r="2845" spans="8:16" x14ac:dyDescent="0.25">
      <c r="H2845" s="12"/>
      <c r="I2845" s="12"/>
      <c r="J2845" s="12"/>
      <c r="K2845" s="12"/>
      <c r="L2845" s="12"/>
      <c r="M2845" s="11"/>
      <c r="N2845" s="11"/>
      <c r="O2845" s="11"/>
      <c r="P2845" s="11"/>
    </row>
    <row r="2846" spans="8:16" x14ac:dyDescent="0.25">
      <c r="H2846" s="12"/>
      <c r="I2846" s="12"/>
      <c r="J2846" s="12"/>
      <c r="K2846" s="12"/>
      <c r="L2846" s="12"/>
      <c r="M2846" s="11"/>
      <c r="N2846" s="11"/>
      <c r="O2846" s="11"/>
      <c r="P2846" s="11"/>
    </row>
    <row r="2847" spans="8:16" x14ac:dyDescent="0.25">
      <c r="H2847" s="12"/>
      <c r="I2847" s="12"/>
      <c r="J2847" s="12"/>
      <c r="K2847" s="12"/>
      <c r="L2847" s="12"/>
      <c r="M2847" s="11"/>
      <c r="N2847" s="11"/>
      <c r="O2847" s="11"/>
      <c r="P2847" s="11"/>
    </row>
    <row r="2848" spans="8:16" x14ac:dyDescent="0.25">
      <c r="H2848" s="12"/>
      <c r="I2848" s="12"/>
      <c r="J2848" s="12"/>
      <c r="K2848" s="12"/>
      <c r="L2848" s="12"/>
      <c r="M2848" s="11"/>
      <c r="N2848" s="11"/>
      <c r="O2848" s="11"/>
      <c r="P2848" s="11"/>
    </row>
    <row r="2849" spans="8:16" x14ac:dyDescent="0.25">
      <c r="H2849" s="12"/>
      <c r="I2849" s="12"/>
      <c r="J2849" s="12"/>
      <c r="K2849" s="12"/>
      <c r="L2849" s="12"/>
      <c r="M2849" s="11"/>
      <c r="N2849" s="11"/>
      <c r="O2849" s="11"/>
      <c r="P2849" s="11"/>
    </row>
    <row r="2850" spans="8:16" x14ac:dyDescent="0.25">
      <c r="H2850" s="12"/>
      <c r="I2850" s="12"/>
      <c r="J2850" s="12"/>
      <c r="K2850" s="12"/>
      <c r="L2850" s="12"/>
      <c r="M2850" s="11"/>
      <c r="N2850" s="11"/>
      <c r="O2850" s="11"/>
      <c r="P2850" s="11"/>
    </row>
    <row r="2851" spans="8:16" x14ac:dyDescent="0.25">
      <c r="H2851" s="12"/>
      <c r="I2851" s="12"/>
      <c r="J2851" s="12"/>
      <c r="K2851" s="12"/>
      <c r="L2851" s="12"/>
      <c r="M2851" s="11"/>
      <c r="N2851" s="11"/>
      <c r="O2851" s="11"/>
      <c r="P2851" s="11"/>
    </row>
    <row r="2852" spans="8:16" x14ac:dyDescent="0.25">
      <c r="H2852" s="12"/>
      <c r="I2852" s="12"/>
      <c r="J2852" s="12"/>
      <c r="K2852" s="12"/>
      <c r="L2852" s="12"/>
      <c r="M2852" s="11"/>
      <c r="N2852" s="11"/>
      <c r="O2852" s="11"/>
      <c r="P2852" s="11"/>
    </row>
    <row r="2853" spans="8:16" x14ac:dyDescent="0.25">
      <c r="H2853" s="12"/>
      <c r="I2853" s="12"/>
      <c r="J2853" s="12"/>
      <c r="K2853" s="12"/>
      <c r="L2853" s="12"/>
      <c r="M2853" s="11"/>
      <c r="N2853" s="11"/>
      <c r="O2853" s="11"/>
      <c r="P2853" s="11"/>
    </row>
    <row r="2854" spans="8:16" x14ac:dyDescent="0.25">
      <c r="H2854" s="12"/>
      <c r="I2854" s="12"/>
      <c r="J2854" s="12"/>
      <c r="K2854" s="12"/>
      <c r="L2854" s="12"/>
      <c r="M2854" s="11"/>
      <c r="N2854" s="11"/>
      <c r="O2854" s="11"/>
      <c r="P2854" s="11"/>
    </row>
    <row r="2855" spans="8:16" x14ac:dyDescent="0.25">
      <c r="H2855" s="12"/>
      <c r="I2855" s="12"/>
      <c r="J2855" s="12"/>
      <c r="K2855" s="12"/>
      <c r="L2855" s="12"/>
      <c r="M2855" s="11"/>
      <c r="N2855" s="11"/>
      <c r="O2855" s="11"/>
      <c r="P2855" s="11"/>
    </row>
    <row r="2856" spans="8:16" x14ac:dyDescent="0.25">
      <c r="H2856" s="12"/>
      <c r="I2856" s="12"/>
      <c r="J2856" s="12"/>
      <c r="K2856" s="12"/>
      <c r="L2856" s="12"/>
      <c r="M2856" s="11"/>
      <c r="N2856" s="11"/>
      <c r="O2856" s="11"/>
      <c r="P2856" s="11"/>
    </row>
    <row r="2857" spans="8:16" x14ac:dyDescent="0.25">
      <c r="H2857" s="12"/>
      <c r="I2857" s="12"/>
      <c r="J2857" s="12"/>
      <c r="K2857" s="12"/>
      <c r="L2857" s="12"/>
      <c r="M2857" s="11"/>
      <c r="N2857" s="11"/>
      <c r="O2857" s="11"/>
      <c r="P2857" s="11"/>
    </row>
    <row r="2858" spans="8:16" x14ac:dyDescent="0.25">
      <c r="H2858" s="12"/>
      <c r="I2858" s="12"/>
      <c r="J2858" s="12"/>
      <c r="K2858" s="12"/>
      <c r="L2858" s="12"/>
      <c r="M2858" s="11"/>
      <c r="N2858" s="11"/>
      <c r="O2858" s="11"/>
      <c r="P2858" s="11"/>
    </row>
    <row r="2859" spans="8:16" x14ac:dyDescent="0.25">
      <c r="H2859" s="12"/>
      <c r="I2859" s="12"/>
      <c r="J2859" s="12"/>
      <c r="K2859" s="12"/>
      <c r="L2859" s="12"/>
      <c r="M2859" s="11"/>
      <c r="N2859" s="11"/>
      <c r="O2859" s="11"/>
      <c r="P2859" s="11"/>
    </row>
    <row r="2860" spans="8:16" x14ac:dyDescent="0.25">
      <c r="H2860" s="12"/>
      <c r="I2860" s="12"/>
      <c r="J2860" s="12"/>
      <c r="K2860" s="12"/>
      <c r="L2860" s="12"/>
      <c r="M2860" s="11"/>
      <c r="N2860" s="11"/>
      <c r="O2860" s="11"/>
      <c r="P2860" s="11"/>
    </row>
    <row r="2861" spans="8:16" x14ac:dyDescent="0.25">
      <c r="H2861" s="12"/>
      <c r="I2861" s="12"/>
      <c r="J2861" s="12"/>
      <c r="K2861" s="12"/>
      <c r="L2861" s="12"/>
      <c r="M2861" s="11"/>
      <c r="N2861" s="11"/>
      <c r="O2861" s="11"/>
      <c r="P2861" s="11"/>
    </row>
    <row r="2862" spans="8:16" x14ac:dyDescent="0.25">
      <c r="H2862" s="12"/>
      <c r="I2862" s="12"/>
      <c r="J2862" s="12"/>
      <c r="K2862" s="12"/>
      <c r="L2862" s="12"/>
      <c r="M2862" s="11"/>
      <c r="N2862" s="11"/>
      <c r="O2862" s="11"/>
      <c r="P2862" s="11"/>
    </row>
    <row r="2863" spans="8:16" x14ac:dyDescent="0.25">
      <c r="H2863" s="12"/>
      <c r="I2863" s="12"/>
      <c r="J2863" s="12"/>
      <c r="K2863" s="12"/>
      <c r="L2863" s="12"/>
      <c r="M2863" s="11"/>
      <c r="N2863" s="11"/>
      <c r="O2863" s="11"/>
      <c r="P2863" s="11"/>
    </row>
    <row r="2864" spans="8:16" x14ac:dyDescent="0.25">
      <c r="H2864" s="12"/>
      <c r="I2864" s="12"/>
      <c r="J2864" s="12"/>
      <c r="K2864" s="12"/>
      <c r="L2864" s="12"/>
      <c r="M2864" s="11"/>
      <c r="N2864" s="11"/>
      <c r="O2864" s="11"/>
      <c r="P2864" s="11"/>
    </row>
    <row r="2865" spans="8:16" x14ac:dyDescent="0.25">
      <c r="H2865" s="12"/>
      <c r="I2865" s="12"/>
      <c r="J2865" s="12"/>
      <c r="K2865" s="12"/>
      <c r="L2865" s="12"/>
      <c r="M2865" s="11"/>
      <c r="N2865" s="11"/>
      <c r="O2865" s="11"/>
      <c r="P2865" s="11"/>
    </row>
    <row r="2866" spans="8:16" x14ac:dyDescent="0.25">
      <c r="H2866" s="12"/>
      <c r="I2866" s="12"/>
      <c r="J2866" s="12"/>
      <c r="K2866" s="12"/>
      <c r="L2866" s="12"/>
      <c r="M2866" s="11"/>
      <c r="N2866" s="11"/>
      <c r="O2866" s="11"/>
      <c r="P2866" s="11"/>
    </row>
    <row r="2867" spans="8:16" x14ac:dyDescent="0.25">
      <c r="H2867" s="12"/>
      <c r="I2867" s="12"/>
      <c r="J2867" s="12"/>
      <c r="K2867" s="12"/>
      <c r="L2867" s="12"/>
      <c r="M2867" s="11"/>
      <c r="N2867" s="11"/>
      <c r="O2867" s="11"/>
      <c r="P2867" s="11"/>
    </row>
    <row r="2868" spans="8:16" x14ac:dyDescent="0.25">
      <c r="H2868" s="12"/>
      <c r="I2868" s="12"/>
      <c r="J2868" s="12"/>
      <c r="K2868" s="12"/>
      <c r="L2868" s="12"/>
      <c r="M2868" s="11"/>
      <c r="N2868" s="11"/>
      <c r="O2868" s="11"/>
      <c r="P2868" s="11"/>
    </row>
    <row r="2869" spans="8:16" x14ac:dyDescent="0.25">
      <c r="H2869" s="12"/>
      <c r="I2869" s="12"/>
      <c r="J2869" s="12"/>
      <c r="K2869" s="12"/>
      <c r="L2869" s="12"/>
      <c r="M2869" s="11"/>
      <c r="N2869" s="11"/>
      <c r="O2869" s="11"/>
      <c r="P2869" s="11"/>
    </row>
    <row r="2870" spans="8:16" x14ac:dyDescent="0.25">
      <c r="H2870" s="12"/>
      <c r="I2870" s="12"/>
      <c r="J2870" s="12"/>
      <c r="K2870" s="12"/>
      <c r="L2870" s="12"/>
      <c r="M2870" s="11"/>
      <c r="N2870" s="11"/>
      <c r="O2870" s="11"/>
      <c r="P2870" s="11"/>
    </row>
    <row r="2871" spans="8:16" x14ac:dyDescent="0.25">
      <c r="H2871" s="12"/>
      <c r="I2871" s="12"/>
      <c r="J2871" s="12"/>
      <c r="K2871" s="12"/>
      <c r="L2871" s="12"/>
      <c r="M2871" s="11"/>
      <c r="N2871" s="11"/>
      <c r="O2871" s="11"/>
      <c r="P2871" s="11"/>
    </row>
    <row r="2872" spans="8:16" x14ac:dyDescent="0.25">
      <c r="H2872" s="12"/>
      <c r="I2872" s="12"/>
      <c r="J2872" s="12"/>
      <c r="K2872" s="12"/>
      <c r="L2872" s="12"/>
      <c r="M2872" s="11"/>
      <c r="N2872" s="11"/>
      <c r="O2872" s="11"/>
      <c r="P2872" s="11"/>
    </row>
    <row r="2873" spans="8:16" x14ac:dyDescent="0.25">
      <c r="H2873" s="12"/>
      <c r="I2873" s="12"/>
      <c r="J2873" s="12"/>
      <c r="K2873" s="12"/>
      <c r="L2873" s="12"/>
      <c r="M2873" s="11"/>
      <c r="N2873" s="11"/>
      <c r="O2873" s="11"/>
      <c r="P2873" s="11"/>
    </row>
    <row r="2874" spans="8:16" x14ac:dyDescent="0.25">
      <c r="H2874" s="12"/>
      <c r="I2874" s="12"/>
      <c r="J2874" s="12"/>
      <c r="K2874" s="12"/>
      <c r="L2874" s="12"/>
      <c r="M2874" s="11"/>
      <c r="N2874" s="11"/>
      <c r="O2874" s="11"/>
      <c r="P2874" s="11"/>
    </row>
    <row r="2875" spans="8:16" x14ac:dyDescent="0.25">
      <c r="H2875" s="12"/>
      <c r="I2875" s="12"/>
      <c r="J2875" s="12"/>
      <c r="K2875" s="12"/>
      <c r="L2875" s="12"/>
      <c r="M2875" s="11"/>
      <c r="N2875" s="11"/>
      <c r="O2875" s="11"/>
      <c r="P2875" s="11"/>
    </row>
    <row r="2876" spans="8:16" x14ac:dyDescent="0.25">
      <c r="H2876" s="12"/>
      <c r="I2876" s="12"/>
      <c r="J2876" s="12"/>
      <c r="K2876" s="12"/>
      <c r="L2876" s="12"/>
      <c r="M2876" s="11"/>
      <c r="N2876" s="11"/>
      <c r="O2876" s="11"/>
      <c r="P2876" s="11"/>
    </row>
    <row r="2877" spans="8:16" x14ac:dyDescent="0.25">
      <c r="H2877" s="12"/>
      <c r="I2877" s="12"/>
      <c r="J2877" s="12"/>
      <c r="K2877" s="12"/>
      <c r="L2877" s="12"/>
      <c r="M2877" s="11"/>
      <c r="N2877" s="11"/>
      <c r="O2877" s="11"/>
      <c r="P2877" s="11"/>
    </row>
    <row r="2878" spans="8:16" x14ac:dyDescent="0.25">
      <c r="H2878" s="12"/>
      <c r="I2878" s="12"/>
      <c r="J2878" s="12"/>
      <c r="K2878" s="12"/>
      <c r="L2878" s="12"/>
      <c r="M2878" s="11"/>
      <c r="N2878" s="11"/>
      <c r="O2878" s="11"/>
      <c r="P2878" s="11"/>
    </row>
    <row r="2879" spans="8:16" x14ac:dyDescent="0.25">
      <c r="H2879" s="12"/>
      <c r="I2879" s="12"/>
      <c r="J2879" s="12"/>
      <c r="K2879" s="12"/>
      <c r="L2879" s="12"/>
      <c r="M2879" s="11"/>
      <c r="N2879" s="11"/>
      <c r="O2879" s="11"/>
      <c r="P2879" s="11"/>
    </row>
    <row r="2880" spans="8:16" x14ac:dyDescent="0.25">
      <c r="H2880" s="12"/>
      <c r="I2880" s="12"/>
      <c r="J2880" s="12"/>
      <c r="K2880" s="12"/>
      <c r="L2880" s="12"/>
      <c r="M2880" s="11"/>
      <c r="N2880" s="11"/>
      <c r="O2880" s="11"/>
      <c r="P2880" s="11"/>
    </row>
    <row r="2881" spans="8:16" x14ac:dyDescent="0.25">
      <c r="H2881" s="12"/>
      <c r="I2881" s="12"/>
      <c r="J2881" s="12"/>
      <c r="K2881" s="12"/>
      <c r="L2881" s="12"/>
      <c r="M2881" s="11"/>
      <c r="N2881" s="11"/>
      <c r="O2881" s="11"/>
      <c r="P2881" s="11"/>
    </row>
    <row r="2882" spans="8:16" x14ac:dyDescent="0.25">
      <c r="H2882" s="12"/>
      <c r="I2882" s="12"/>
      <c r="J2882" s="12"/>
      <c r="K2882" s="12"/>
      <c r="L2882" s="12"/>
      <c r="M2882" s="11"/>
      <c r="N2882" s="11"/>
      <c r="O2882" s="11"/>
      <c r="P2882" s="11"/>
    </row>
    <row r="2883" spans="8:16" x14ac:dyDescent="0.25">
      <c r="H2883" s="12"/>
      <c r="I2883" s="12"/>
      <c r="J2883" s="12"/>
      <c r="K2883" s="12"/>
      <c r="L2883" s="12"/>
      <c r="M2883" s="11"/>
      <c r="N2883" s="11"/>
      <c r="O2883" s="11"/>
      <c r="P2883" s="11"/>
    </row>
    <row r="2884" spans="8:16" x14ac:dyDescent="0.25">
      <c r="H2884" s="12"/>
      <c r="I2884" s="12"/>
      <c r="J2884" s="12"/>
      <c r="K2884" s="12"/>
      <c r="L2884" s="12"/>
      <c r="M2884" s="11"/>
      <c r="N2884" s="11"/>
      <c r="O2884" s="11"/>
      <c r="P2884" s="11"/>
    </row>
    <row r="2885" spans="8:16" x14ac:dyDescent="0.25">
      <c r="H2885" s="12"/>
      <c r="I2885" s="12"/>
      <c r="J2885" s="12"/>
      <c r="K2885" s="12"/>
      <c r="L2885" s="12"/>
      <c r="M2885" s="11"/>
      <c r="N2885" s="11"/>
      <c r="O2885" s="11"/>
      <c r="P2885" s="11"/>
    </row>
    <row r="2886" spans="8:16" x14ac:dyDescent="0.25">
      <c r="H2886" s="12"/>
      <c r="I2886" s="12"/>
      <c r="J2886" s="12"/>
      <c r="K2886" s="12"/>
      <c r="L2886" s="12"/>
      <c r="M2886" s="11"/>
      <c r="N2886" s="11"/>
      <c r="O2886" s="11"/>
      <c r="P2886" s="11"/>
    </row>
    <row r="2887" spans="8:16" x14ac:dyDescent="0.25">
      <c r="H2887" s="12"/>
      <c r="I2887" s="12"/>
      <c r="J2887" s="12"/>
      <c r="K2887" s="12"/>
      <c r="L2887" s="12"/>
      <c r="M2887" s="11"/>
      <c r="N2887" s="11"/>
      <c r="O2887" s="11"/>
      <c r="P2887" s="11"/>
    </row>
    <row r="2888" spans="8:16" x14ac:dyDescent="0.25">
      <c r="H2888" s="12"/>
      <c r="I2888" s="12"/>
      <c r="J2888" s="12"/>
      <c r="K2888" s="12"/>
      <c r="L2888" s="12"/>
      <c r="M2888" s="11"/>
      <c r="N2888" s="11"/>
      <c r="O2888" s="11"/>
      <c r="P2888" s="11"/>
    </row>
    <row r="2889" spans="8:16" x14ac:dyDescent="0.25">
      <c r="H2889" s="12"/>
      <c r="I2889" s="12"/>
      <c r="J2889" s="12"/>
      <c r="K2889" s="12"/>
      <c r="L2889" s="12"/>
      <c r="M2889" s="11"/>
      <c r="N2889" s="11"/>
      <c r="O2889" s="11"/>
      <c r="P2889" s="11"/>
    </row>
    <row r="2890" spans="8:16" x14ac:dyDescent="0.25">
      <c r="H2890" s="12"/>
      <c r="I2890" s="12"/>
      <c r="J2890" s="12"/>
      <c r="K2890" s="12"/>
      <c r="L2890" s="12"/>
      <c r="M2890" s="11"/>
      <c r="N2890" s="11"/>
      <c r="O2890" s="11"/>
      <c r="P2890" s="11"/>
    </row>
    <row r="2891" spans="8:16" x14ac:dyDescent="0.25">
      <c r="H2891" s="12"/>
      <c r="I2891" s="12"/>
      <c r="J2891" s="12"/>
      <c r="K2891" s="12"/>
      <c r="L2891" s="12"/>
      <c r="M2891" s="11"/>
      <c r="N2891" s="11"/>
      <c r="O2891" s="11"/>
      <c r="P2891" s="11"/>
    </row>
    <row r="2892" spans="8:16" x14ac:dyDescent="0.25">
      <c r="H2892" s="12"/>
      <c r="I2892" s="12"/>
      <c r="J2892" s="12"/>
      <c r="K2892" s="12"/>
      <c r="L2892" s="12"/>
      <c r="M2892" s="11"/>
      <c r="N2892" s="11"/>
      <c r="O2892" s="11"/>
      <c r="P2892" s="11"/>
    </row>
    <row r="2893" spans="8:16" x14ac:dyDescent="0.25">
      <c r="H2893" s="12"/>
      <c r="I2893" s="12"/>
      <c r="J2893" s="12"/>
      <c r="K2893" s="12"/>
      <c r="L2893" s="12"/>
      <c r="M2893" s="11"/>
      <c r="N2893" s="11"/>
      <c r="O2893" s="11"/>
      <c r="P2893" s="11"/>
    </row>
    <row r="2894" spans="8:16" x14ac:dyDescent="0.25">
      <c r="H2894" s="12"/>
      <c r="I2894" s="12"/>
      <c r="J2894" s="12"/>
      <c r="K2894" s="12"/>
      <c r="L2894" s="12"/>
      <c r="M2894" s="11"/>
      <c r="N2894" s="11"/>
      <c r="O2894" s="11"/>
      <c r="P2894" s="11"/>
    </row>
    <row r="2895" spans="8:16" x14ac:dyDescent="0.25">
      <c r="H2895" s="12"/>
      <c r="I2895" s="12"/>
      <c r="J2895" s="12"/>
      <c r="K2895" s="12"/>
      <c r="L2895" s="12"/>
      <c r="M2895" s="11"/>
      <c r="N2895" s="11"/>
      <c r="O2895" s="11"/>
      <c r="P2895" s="11"/>
    </row>
    <row r="2896" spans="8:16" x14ac:dyDescent="0.25">
      <c r="H2896" s="12"/>
      <c r="I2896" s="12"/>
      <c r="J2896" s="12"/>
      <c r="K2896" s="12"/>
      <c r="L2896" s="12"/>
      <c r="M2896" s="11"/>
      <c r="N2896" s="11"/>
      <c r="O2896" s="11"/>
      <c r="P2896" s="11"/>
    </row>
    <row r="2897" spans="8:16" x14ac:dyDescent="0.25">
      <c r="H2897" s="12"/>
      <c r="I2897" s="12"/>
      <c r="J2897" s="12"/>
      <c r="K2897" s="12"/>
      <c r="L2897" s="12"/>
      <c r="M2897" s="11"/>
      <c r="N2897" s="11"/>
      <c r="O2897" s="11"/>
      <c r="P2897" s="11"/>
    </row>
    <row r="2898" spans="8:16" x14ac:dyDescent="0.25">
      <c r="H2898" s="12"/>
      <c r="I2898" s="12"/>
      <c r="J2898" s="12"/>
      <c r="K2898" s="12"/>
      <c r="L2898" s="12"/>
      <c r="M2898" s="11"/>
      <c r="N2898" s="11"/>
      <c r="O2898" s="11"/>
      <c r="P2898" s="11"/>
    </row>
    <row r="2899" spans="8:16" x14ac:dyDescent="0.25">
      <c r="H2899" s="12"/>
      <c r="I2899" s="12"/>
      <c r="J2899" s="12"/>
      <c r="K2899" s="12"/>
      <c r="L2899" s="12"/>
      <c r="M2899" s="11"/>
      <c r="N2899" s="11"/>
      <c r="O2899" s="11"/>
      <c r="P2899" s="11"/>
    </row>
    <row r="2900" spans="8:16" x14ac:dyDescent="0.25">
      <c r="H2900" s="12"/>
      <c r="I2900" s="12"/>
      <c r="J2900" s="12"/>
      <c r="K2900" s="12"/>
      <c r="L2900" s="12"/>
      <c r="M2900" s="11"/>
      <c r="N2900" s="11"/>
      <c r="O2900" s="11"/>
      <c r="P2900" s="11"/>
    </row>
    <row r="2901" spans="8:16" x14ac:dyDescent="0.25">
      <c r="H2901" s="12"/>
      <c r="I2901" s="12"/>
      <c r="J2901" s="12"/>
      <c r="K2901" s="12"/>
      <c r="L2901" s="12"/>
      <c r="M2901" s="11"/>
      <c r="N2901" s="11"/>
      <c r="O2901" s="11"/>
      <c r="P2901" s="11"/>
    </row>
    <row r="2902" spans="8:16" x14ac:dyDescent="0.25">
      <c r="H2902" s="12"/>
      <c r="I2902" s="12"/>
      <c r="J2902" s="12"/>
      <c r="K2902" s="12"/>
      <c r="L2902" s="12"/>
      <c r="M2902" s="11"/>
      <c r="N2902" s="11"/>
      <c r="O2902" s="11"/>
      <c r="P2902" s="11"/>
    </row>
    <row r="2903" spans="8:16" x14ac:dyDescent="0.25">
      <c r="H2903" s="12"/>
      <c r="I2903" s="12"/>
      <c r="J2903" s="12"/>
      <c r="K2903" s="12"/>
      <c r="L2903" s="12"/>
      <c r="M2903" s="11"/>
      <c r="N2903" s="11"/>
      <c r="O2903" s="11"/>
      <c r="P2903" s="11"/>
    </row>
    <row r="2904" spans="8:16" x14ac:dyDescent="0.25">
      <c r="H2904" s="12"/>
      <c r="I2904" s="12"/>
      <c r="J2904" s="12"/>
      <c r="K2904" s="12"/>
      <c r="L2904" s="12"/>
      <c r="M2904" s="11"/>
      <c r="N2904" s="11"/>
      <c r="O2904" s="11"/>
      <c r="P2904" s="11"/>
    </row>
    <row r="2905" spans="8:16" x14ac:dyDescent="0.25">
      <c r="H2905" s="12"/>
      <c r="I2905" s="12"/>
      <c r="J2905" s="12"/>
      <c r="K2905" s="12"/>
      <c r="L2905" s="12"/>
      <c r="M2905" s="11"/>
      <c r="N2905" s="11"/>
      <c r="O2905" s="11"/>
      <c r="P2905" s="11"/>
    </row>
    <row r="2906" spans="8:16" x14ac:dyDescent="0.25">
      <c r="H2906" s="12"/>
      <c r="I2906" s="12"/>
      <c r="J2906" s="12"/>
      <c r="K2906" s="12"/>
      <c r="L2906" s="12"/>
      <c r="M2906" s="11"/>
      <c r="N2906" s="11"/>
      <c r="O2906" s="11"/>
      <c r="P2906" s="11"/>
    </row>
    <row r="2907" spans="8:16" x14ac:dyDescent="0.25">
      <c r="H2907" s="12"/>
      <c r="I2907" s="12"/>
      <c r="J2907" s="12"/>
      <c r="K2907" s="12"/>
      <c r="L2907" s="12"/>
      <c r="M2907" s="11"/>
      <c r="N2907" s="11"/>
      <c r="O2907" s="11"/>
      <c r="P2907" s="11"/>
    </row>
    <row r="2908" spans="8:16" x14ac:dyDescent="0.25">
      <c r="H2908" s="12"/>
      <c r="I2908" s="12"/>
      <c r="J2908" s="12"/>
      <c r="K2908" s="12"/>
      <c r="L2908" s="12"/>
      <c r="M2908" s="11"/>
      <c r="N2908" s="11"/>
      <c r="O2908" s="11"/>
      <c r="P2908" s="11"/>
    </row>
    <row r="2909" spans="8:16" x14ac:dyDescent="0.25">
      <c r="H2909" s="12"/>
      <c r="I2909" s="12"/>
      <c r="J2909" s="12"/>
      <c r="K2909" s="12"/>
      <c r="L2909" s="12"/>
      <c r="M2909" s="11"/>
      <c r="N2909" s="11"/>
      <c r="O2909" s="11"/>
      <c r="P2909" s="11"/>
    </row>
    <row r="2910" spans="8:16" x14ac:dyDescent="0.25">
      <c r="H2910" s="12"/>
      <c r="I2910" s="12"/>
      <c r="J2910" s="12"/>
      <c r="K2910" s="12"/>
      <c r="L2910" s="12"/>
      <c r="M2910" s="11"/>
      <c r="N2910" s="11"/>
      <c r="O2910" s="11"/>
      <c r="P2910" s="11"/>
    </row>
    <row r="2911" spans="8:16" x14ac:dyDescent="0.25">
      <c r="H2911" s="12"/>
      <c r="I2911" s="12"/>
      <c r="J2911" s="12"/>
      <c r="K2911" s="12"/>
      <c r="L2911" s="12"/>
      <c r="M2911" s="11"/>
      <c r="N2911" s="11"/>
      <c r="O2911" s="11"/>
      <c r="P2911" s="11"/>
    </row>
    <row r="2912" spans="8:16" x14ac:dyDescent="0.25">
      <c r="H2912" s="12"/>
      <c r="I2912" s="12"/>
      <c r="J2912" s="12"/>
      <c r="K2912" s="12"/>
      <c r="L2912" s="12"/>
      <c r="M2912" s="11"/>
      <c r="N2912" s="11"/>
      <c r="O2912" s="11"/>
      <c r="P2912" s="11"/>
    </row>
    <row r="2913" spans="8:16" x14ac:dyDescent="0.25">
      <c r="H2913" s="12"/>
      <c r="I2913" s="12"/>
      <c r="J2913" s="12"/>
      <c r="K2913" s="12"/>
      <c r="L2913" s="12"/>
      <c r="M2913" s="11"/>
      <c r="N2913" s="11"/>
      <c r="O2913" s="11"/>
      <c r="P2913" s="11"/>
    </row>
    <row r="2914" spans="8:16" x14ac:dyDescent="0.25">
      <c r="H2914" s="12"/>
      <c r="I2914" s="12"/>
      <c r="J2914" s="12"/>
      <c r="K2914" s="12"/>
      <c r="L2914" s="12"/>
      <c r="M2914" s="11"/>
      <c r="N2914" s="11"/>
      <c r="O2914" s="11"/>
      <c r="P2914" s="11"/>
    </row>
    <row r="2915" spans="8:16" x14ac:dyDescent="0.25">
      <c r="H2915" s="12"/>
      <c r="I2915" s="12"/>
      <c r="J2915" s="12"/>
      <c r="K2915" s="12"/>
      <c r="L2915" s="12"/>
      <c r="M2915" s="11"/>
      <c r="N2915" s="11"/>
      <c r="O2915" s="11"/>
      <c r="P2915" s="11"/>
    </row>
    <row r="2916" spans="8:16" x14ac:dyDescent="0.25">
      <c r="H2916" s="12"/>
      <c r="I2916" s="12"/>
      <c r="J2916" s="12"/>
      <c r="K2916" s="12"/>
      <c r="L2916" s="12"/>
      <c r="M2916" s="11"/>
      <c r="N2916" s="11"/>
      <c r="O2916" s="11"/>
      <c r="P2916" s="11"/>
    </row>
    <row r="2917" spans="8:16" x14ac:dyDescent="0.25">
      <c r="H2917" s="12"/>
      <c r="I2917" s="12"/>
      <c r="J2917" s="12"/>
      <c r="K2917" s="12"/>
      <c r="L2917" s="12"/>
      <c r="M2917" s="11"/>
      <c r="N2917" s="11"/>
      <c r="O2917" s="11"/>
      <c r="P2917" s="11"/>
    </row>
    <row r="2918" spans="8:16" x14ac:dyDescent="0.25">
      <c r="H2918" s="12"/>
      <c r="I2918" s="12"/>
      <c r="J2918" s="12"/>
      <c r="K2918" s="12"/>
      <c r="L2918" s="12"/>
      <c r="M2918" s="11"/>
      <c r="N2918" s="11"/>
      <c r="O2918" s="11"/>
      <c r="P2918" s="11"/>
    </row>
    <row r="2919" spans="8:16" x14ac:dyDescent="0.25">
      <c r="H2919" s="12"/>
      <c r="I2919" s="12"/>
      <c r="J2919" s="12"/>
      <c r="K2919" s="12"/>
      <c r="L2919" s="12"/>
      <c r="M2919" s="11"/>
      <c r="N2919" s="11"/>
      <c r="O2919" s="11"/>
      <c r="P2919" s="11"/>
    </row>
    <row r="2920" spans="8:16" x14ac:dyDescent="0.25">
      <c r="H2920" s="12"/>
      <c r="I2920" s="12"/>
      <c r="J2920" s="12"/>
      <c r="K2920" s="12"/>
      <c r="L2920" s="12"/>
      <c r="M2920" s="11"/>
      <c r="N2920" s="11"/>
      <c r="O2920" s="11"/>
      <c r="P2920" s="11"/>
    </row>
    <row r="2921" spans="8:16" x14ac:dyDescent="0.25">
      <c r="H2921" s="12"/>
      <c r="I2921" s="12"/>
      <c r="J2921" s="12"/>
      <c r="K2921" s="12"/>
      <c r="L2921" s="12"/>
      <c r="M2921" s="11"/>
      <c r="N2921" s="11"/>
      <c r="O2921" s="11"/>
      <c r="P2921" s="11"/>
    </row>
    <row r="2922" spans="8:16" x14ac:dyDescent="0.25">
      <c r="H2922" s="12"/>
      <c r="I2922" s="12"/>
      <c r="J2922" s="12"/>
      <c r="K2922" s="12"/>
      <c r="L2922" s="12"/>
      <c r="M2922" s="11"/>
      <c r="N2922" s="11"/>
      <c r="O2922" s="11"/>
      <c r="P2922" s="11"/>
    </row>
    <row r="2923" spans="8:16" x14ac:dyDescent="0.25">
      <c r="H2923" s="12"/>
      <c r="I2923" s="12"/>
      <c r="J2923" s="12"/>
      <c r="K2923" s="12"/>
      <c r="L2923" s="12"/>
      <c r="M2923" s="11"/>
      <c r="N2923" s="11"/>
      <c r="O2923" s="11"/>
      <c r="P2923" s="11"/>
    </row>
    <row r="2924" spans="8:16" x14ac:dyDescent="0.25">
      <c r="H2924" s="12"/>
      <c r="I2924" s="12"/>
      <c r="J2924" s="12"/>
      <c r="K2924" s="12"/>
      <c r="L2924" s="12"/>
      <c r="M2924" s="11"/>
      <c r="N2924" s="11"/>
      <c r="O2924" s="11"/>
      <c r="P2924" s="11"/>
    </row>
    <row r="2925" spans="8:16" x14ac:dyDescent="0.25">
      <c r="H2925" s="12"/>
      <c r="I2925" s="12"/>
      <c r="J2925" s="12"/>
      <c r="K2925" s="12"/>
      <c r="L2925" s="12"/>
      <c r="M2925" s="11"/>
      <c r="N2925" s="11"/>
      <c r="O2925" s="11"/>
      <c r="P2925" s="11"/>
    </row>
    <row r="2926" spans="8:16" x14ac:dyDescent="0.25">
      <c r="H2926" s="12"/>
      <c r="I2926" s="12"/>
      <c r="J2926" s="12"/>
      <c r="K2926" s="12"/>
      <c r="L2926" s="12"/>
      <c r="M2926" s="11"/>
      <c r="N2926" s="11"/>
      <c r="O2926" s="11"/>
      <c r="P2926" s="11"/>
    </row>
    <row r="2927" spans="8:16" x14ac:dyDescent="0.25">
      <c r="H2927" s="12"/>
      <c r="I2927" s="12"/>
      <c r="J2927" s="12"/>
      <c r="K2927" s="12"/>
      <c r="L2927" s="12"/>
      <c r="M2927" s="11"/>
      <c r="N2927" s="11"/>
      <c r="O2927" s="11"/>
      <c r="P2927" s="11"/>
    </row>
    <row r="2928" spans="8:16" x14ac:dyDescent="0.25">
      <c r="H2928" s="12"/>
      <c r="I2928" s="12"/>
      <c r="J2928" s="12"/>
      <c r="K2928" s="12"/>
      <c r="L2928" s="12"/>
      <c r="M2928" s="11"/>
      <c r="N2928" s="11"/>
      <c r="O2928" s="11"/>
      <c r="P2928" s="11"/>
    </row>
    <row r="2929" spans="8:16" x14ac:dyDescent="0.25">
      <c r="H2929" s="12"/>
      <c r="I2929" s="12"/>
      <c r="J2929" s="12"/>
      <c r="K2929" s="12"/>
      <c r="L2929" s="12"/>
      <c r="M2929" s="11"/>
      <c r="N2929" s="11"/>
      <c r="O2929" s="11"/>
      <c r="P2929" s="11"/>
    </row>
    <row r="2930" spans="8:16" x14ac:dyDescent="0.25">
      <c r="H2930" s="12"/>
      <c r="I2930" s="12"/>
      <c r="J2930" s="12"/>
      <c r="K2930" s="12"/>
      <c r="L2930" s="12"/>
      <c r="M2930" s="11"/>
      <c r="N2930" s="11"/>
      <c r="O2930" s="11"/>
      <c r="P2930" s="11"/>
    </row>
    <row r="2931" spans="8:16" x14ac:dyDescent="0.25">
      <c r="H2931" s="12"/>
      <c r="I2931" s="12"/>
      <c r="J2931" s="12"/>
      <c r="K2931" s="12"/>
      <c r="L2931" s="12"/>
      <c r="M2931" s="11"/>
      <c r="N2931" s="11"/>
      <c r="O2931" s="11"/>
      <c r="P2931" s="11"/>
    </row>
    <row r="2932" spans="8:16" x14ac:dyDescent="0.25">
      <c r="H2932" s="12"/>
      <c r="I2932" s="12"/>
      <c r="J2932" s="12"/>
      <c r="K2932" s="12"/>
      <c r="L2932" s="12"/>
      <c r="M2932" s="11"/>
      <c r="N2932" s="11"/>
      <c r="O2932" s="11"/>
      <c r="P2932" s="11"/>
    </row>
    <row r="2933" spans="8:16" x14ac:dyDescent="0.25">
      <c r="H2933" s="12"/>
      <c r="I2933" s="12"/>
      <c r="J2933" s="12"/>
      <c r="K2933" s="12"/>
      <c r="L2933" s="12"/>
      <c r="M2933" s="11"/>
      <c r="N2933" s="11"/>
      <c r="O2933" s="11"/>
      <c r="P2933" s="11"/>
    </row>
    <row r="2934" spans="8:16" x14ac:dyDescent="0.25">
      <c r="H2934" s="12"/>
      <c r="I2934" s="12"/>
      <c r="J2934" s="12"/>
      <c r="K2934" s="12"/>
      <c r="L2934" s="12"/>
      <c r="M2934" s="11"/>
      <c r="N2934" s="11"/>
      <c r="O2934" s="11"/>
      <c r="P2934" s="11"/>
    </row>
    <row r="2935" spans="8:16" x14ac:dyDescent="0.25">
      <c r="H2935" s="12"/>
      <c r="I2935" s="12"/>
      <c r="J2935" s="12"/>
      <c r="K2935" s="12"/>
      <c r="L2935" s="12"/>
      <c r="M2935" s="11"/>
      <c r="N2935" s="11"/>
      <c r="O2935" s="11"/>
      <c r="P2935" s="11"/>
    </row>
    <row r="2936" spans="8:16" x14ac:dyDescent="0.25">
      <c r="H2936" s="12"/>
      <c r="I2936" s="12"/>
      <c r="J2936" s="12"/>
      <c r="K2936" s="12"/>
      <c r="L2936" s="12"/>
      <c r="M2936" s="11"/>
      <c r="N2936" s="11"/>
      <c r="O2936" s="11"/>
      <c r="P2936" s="11"/>
    </row>
    <row r="2937" spans="8:16" x14ac:dyDescent="0.25">
      <c r="H2937" s="12"/>
      <c r="I2937" s="12"/>
      <c r="J2937" s="12"/>
      <c r="K2937" s="12"/>
      <c r="L2937" s="12"/>
      <c r="M2937" s="11"/>
      <c r="N2937" s="11"/>
      <c r="O2937" s="11"/>
      <c r="P2937" s="11"/>
    </row>
    <row r="2938" spans="8:16" x14ac:dyDescent="0.25">
      <c r="H2938" s="12"/>
      <c r="I2938" s="12"/>
      <c r="J2938" s="12"/>
      <c r="K2938" s="12"/>
      <c r="L2938" s="12"/>
      <c r="M2938" s="11"/>
      <c r="N2938" s="11"/>
      <c r="O2938" s="11"/>
      <c r="P2938" s="11"/>
    </row>
    <row r="2939" spans="8:16" x14ac:dyDescent="0.25">
      <c r="H2939" s="12"/>
      <c r="I2939" s="12"/>
      <c r="J2939" s="12"/>
      <c r="K2939" s="12"/>
      <c r="L2939" s="12"/>
      <c r="M2939" s="11"/>
      <c r="N2939" s="11"/>
      <c r="O2939" s="11"/>
      <c r="P2939" s="11"/>
    </row>
    <row r="2940" spans="8:16" x14ac:dyDescent="0.25">
      <c r="H2940" s="12"/>
      <c r="I2940" s="12"/>
      <c r="J2940" s="12"/>
      <c r="K2940" s="12"/>
      <c r="L2940" s="12"/>
      <c r="M2940" s="11"/>
      <c r="N2940" s="11"/>
      <c r="O2940" s="11"/>
      <c r="P2940" s="11"/>
    </row>
    <row r="2941" spans="8:16" x14ac:dyDescent="0.25">
      <c r="H2941" s="12"/>
      <c r="I2941" s="12"/>
      <c r="J2941" s="12"/>
      <c r="K2941" s="12"/>
      <c r="L2941" s="12"/>
      <c r="M2941" s="11"/>
      <c r="N2941" s="11"/>
      <c r="O2941" s="11"/>
      <c r="P2941" s="11"/>
    </row>
    <row r="2942" spans="8:16" x14ac:dyDescent="0.25">
      <c r="H2942" s="12"/>
      <c r="I2942" s="12"/>
      <c r="J2942" s="12"/>
      <c r="K2942" s="12"/>
      <c r="L2942" s="12"/>
      <c r="M2942" s="11"/>
      <c r="N2942" s="11"/>
      <c r="O2942" s="11"/>
      <c r="P2942" s="11"/>
    </row>
    <row r="2943" spans="8:16" x14ac:dyDescent="0.25">
      <c r="H2943" s="12"/>
      <c r="I2943" s="12"/>
      <c r="J2943" s="12"/>
      <c r="K2943" s="12"/>
      <c r="L2943" s="12"/>
      <c r="M2943" s="11"/>
      <c r="N2943" s="11"/>
      <c r="O2943" s="11"/>
      <c r="P2943" s="11"/>
    </row>
    <row r="2944" spans="8:16" x14ac:dyDescent="0.25">
      <c r="H2944" s="12"/>
      <c r="I2944" s="12"/>
      <c r="J2944" s="12"/>
      <c r="K2944" s="12"/>
      <c r="L2944" s="12"/>
      <c r="M2944" s="11"/>
      <c r="N2944" s="11"/>
      <c r="O2944" s="11"/>
      <c r="P2944" s="11"/>
    </row>
    <row r="2945" spans="8:16" x14ac:dyDescent="0.25">
      <c r="H2945" s="12"/>
      <c r="I2945" s="12"/>
      <c r="J2945" s="12"/>
      <c r="K2945" s="12"/>
      <c r="L2945" s="12"/>
      <c r="M2945" s="11"/>
      <c r="N2945" s="11"/>
      <c r="O2945" s="11"/>
      <c r="P2945" s="11"/>
    </row>
    <row r="2946" spans="8:16" x14ac:dyDescent="0.25">
      <c r="H2946" s="12"/>
      <c r="I2946" s="12"/>
      <c r="J2946" s="12"/>
      <c r="K2946" s="12"/>
      <c r="L2946" s="12"/>
      <c r="M2946" s="11"/>
      <c r="N2946" s="11"/>
      <c r="O2946" s="11"/>
      <c r="P2946" s="11"/>
    </row>
    <row r="2947" spans="8:16" x14ac:dyDescent="0.25">
      <c r="H2947" s="12"/>
      <c r="I2947" s="12"/>
      <c r="J2947" s="12"/>
      <c r="K2947" s="12"/>
      <c r="L2947" s="12"/>
      <c r="M2947" s="11"/>
      <c r="N2947" s="11"/>
      <c r="O2947" s="11"/>
      <c r="P2947" s="11"/>
    </row>
    <row r="2948" spans="8:16" x14ac:dyDescent="0.25">
      <c r="H2948" s="12"/>
      <c r="I2948" s="12"/>
      <c r="J2948" s="12"/>
      <c r="K2948" s="12"/>
      <c r="L2948" s="12"/>
      <c r="M2948" s="11"/>
      <c r="N2948" s="11"/>
      <c r="O2948" s="11"/>
      <c r="P2948" s="11"/>
    </row>
    <row r="2949" spans="8:16" x14ac:dyDescent="0.25">
      <c r="H2949" s="12"/>
      <c r="I2949" s="12"/>
      <c r="J2949" s="12"/>
      <c r="K2949" s="12"/>
      <c r="L2949" s="12"/>
      <c r="M2949" s="11"/>
      <c r="N2949" s="11"/>
      <c r="O2949" s="11"/>
      <c r="P2949" s="11"/>
    </row>
    <row r="2950" spans="8:16" x14ac:dyDescent="0.25">
      <c r="H2950" s="12"/>
      <c r="I2950" s="12"/>
      <c r="J2950" s="12"/>
      <c r="K2950" s="12"/>
      <c r="L2950" s="12"/>
      <c r="M2950" s="11"/>
      <c r="N2950" s="11"/>
      <c r="O2950" s="11"/>
      <c r="P2950" s="11"/>
    </row>
    <row r="2951" spans="8:16" x14ac:dyDescent="0.25">
      <c r="H2951" s="12"/>
      <c r="I2951" s="12"/>
      <c r="J2951" s="12"/>
      <c r="K2951" s="12"/>
      <c r="L2951" s="12"/>
      <c r="M2951" s="11"/>
      <c r="N2951" s="11"/>
      <c r="O2951" s="11"/>
      <c r="P2951" s="11"/>
    </row>
    <row r="2952" spans="8:16" x14ac:dyDescent="0.25">
      <c r="H2952" s="12"/>
      <c r="I2952" s="12"/>
      <c r="J2952" s="12"/>
      <c r="K2952" s="12"/>
      <c r="L2952" s="12"/>
      <c r="M2952" s="11"/>
      <c r="N2952" s="11"/>
      <c r="O2952" s="11"/>
      <c r="P2952" s="11"/>
    </row>
    <row r="2953" spans="8:16" x14ac:dyDescent="0.25">
      <c r="H2953" s="12"/>
      <c r="I2953" s="12"/>
      <c r="J2953" s="12"/>
      <c r="K2953" s="12"/>
      <c r="L2953" s="12"/>
      <c r="M2953" s="11"/>
      <c r="N2953" s="11"/>
      <c r="O2953" s="11"/>
      <c r="P2953" s="11"/>
    </row>
    <row r="2954" spans="8:16" x14ac:dyDescent="0.25">
      <c r="H2954" s="12"/>
      <c r="I2954" s="12"/>
      <c r="J2954" s="12"/>
      <c r="K2954" s="12"/>
      <c r="L2954" s="12"/>
      <c r="M2954" s="11"/>
      <c r="N2954" s="11"/>
      <c r="O2954" s="11"/>
      <c r="P2954" s="11"/>
    </row>
    <row r="2955" spans="8:16" x14ac:dyDescent="0.25">
      <c r="H2955" s="12"/>
      <c r="I2955" s="12"/>
      <c r="J2955" s="12"/>
      <c r="K2955" s="12"/>
      <c r="L2955" s="12"/>
      <c r="M2955" s="11"/>
      <c r="N2955" s="11"/>
      <c r="O2955" s="11"/>
      <c r="P2955" s="11"/>
    </row>
    <row r="2956" spans="8:16" x14ac:dyDescent="0.25">
      <c r="H2956" s="12"/>
      <c r="I2956" s="12"/>
      <c r="J2956" s="12"/>
      <c r="K2956" s="12"/>
      <c r="L2956" s="12"/>
      <c r="M2956" s="11"/>
      <c r="N2956" s="11"/>
      <c r="O2956" s="11"/>
      <c r="P2956" s="11"/>
    </row>
    <row r="2957" spans="8:16" x14ac:dyDescent="0.25">
      <c r="H2957" s="12"/>
      <c r="I2957" s="12"/>
      <c r="J2957" s="12"/>
      <c r="K2957" s="12"/>
      <c r="L2957" s="12"/>
      <c r="M2957" s="11"/>
      <c r="N2957" s="11"/>
      <c r="O2957" s="11"/>
      <c r="P2957" s="11"/>
    </row>
    <row r="2958" spans="8:16" x14ac:dyDescent="0.25">
      <c r="H2958" s="12"/>
      <c r="I2958" s="12"/>
      <c r="J2958" s="12"/>
      <c r="K2958" s="12"/>
      <c r="L2958" s="12"/>
      <c r="M2958" s="11"/>
      <c r="N2958" s="11"/>
      <c r="O2958" s="11"/>
      <c r="P2958" s="11"/>
    </row>
    <row r="2959" spans="8:16" x14ac:dyDescent="0.25">
      <c r="H2959" s="12"/>
      <c r="I2959" s="12"/>
      <c r="J2959" s="12"/>
      <c r="K2959" s="12"/>
      <c r="L2959" s="12"/>
      <c r="M2959" s="11"/>
      <c r="N2959" s="11"/>
      <c r="O2959" s="11"/>
      <c r="P2959" s="11"/>
    </row>
    <row r="2960" spans="8:16" x14ac:dyDescent="0.25">
      <c r="H2960" s="12"/>
      <c r="I2960" s="12"/>
      <c r="J2960" s="12"/>
      <c r="K2960" s="12"/>
      <c r="L2960" s="12"/>
      <c r="M2960" s="11"/>
      <c r="N2960" s="11"/>
      <c r="O2960" s="11"/>
      <c r="P2960" s="11"/>
    </row>
    <row r="2961" spans="8:16" x14ac:dyDescent="0.25">
      <c r="H2961" s="12"/>
      <c r="I2961" s="12"/>
      <c r="J2961" s="12"/>
      <c r="K2961" s="12"/>
      <c r="L2961" s="12"/>
      <c r="M2961" s="11"/>
      <c r="N2961" s="11"/>
      <c r="O2961" s="11"/>
      <c r="P2961" s="11"/>
    </row>
    <row r="2962" spans="8:16" x14ac:dyDescent="0.25">
      <c r="H2962" s="12"/>
      <c r="I2962" s="12"/>
      <c r="J2962" s="12"/>
      <c r="K2962" s="12"/>
      <c r="L2962" s="12"/>
      <c r="M2962" s="11"/>
      <c r="N2962" s="11"/>
      <c r="O2962" s="11"/>
      <c r="P2962" s="11"/>
    </row>
    <row r="2963" spans="8:16" x14ac:dyDescent="0.25">
      <c r="H2963" s="12"/>
      <c r="I2963" s="12"/>
      <c r="J2963" s="12"/>
      <c r="K2963" s="12"/>
      <c r="L2963" s="12"/>
      <c r="M2963" s="11"/>
      <c r="N2963" s="11"/>
      <c r="O2963" s="11"/>
      <c r="P2963" s="11"/>
    </row>
    <row r="2964" spans="8:16" x14ac:dyDescent="0.25">
      <c r="H2964" s="12"/>
      <c r="I2964" s="12"/>
      <c r="J2964" s="12"/>
      <c r="K2964" s="12"/>
      <c r="L2964" s="12"/>
      <c r="M2964" s="11"/>
      <c r="N2964" s="11"/>
      <c r="O2964" s="11"/>
      <c r="P2964" s="11"/>
    </row>
    <row r="2965" spans="8:16" x14ac:dyDescent="0.25">
      <c r="H2965" s="12"/>
      <c r="I2965" s="12"/>
      <c r="J2965" s="12"/>
      <c r="K2965" s="12"/>
      <c r="L2965" s="12"/>
      <c r="M2965" s="11"/>
      <c r="N2965" s="11"/>
      <c r="O2965" s="11"/>
      <c r="P2965" s="11"/>
    </row>
    <row r="2966" spans="8:16" x14ac:dyDescent="0.25">
      <c r="H2966" s="12"/>
      <c r="I2966" s="12"/>
      <c r="J2966" s="12"/>
      <c r="K2966" s="12"/>
      <c r="L2966" s="12"/>
      <c r="M2966" s="11"/>
      <c r="N2966" s="11"/>
      <c r="O2966" s="11"/>
      <c r="P2966" s="11"/>
    </row>
    <row r="2967" spans="8:16" x14ac:dyDescent="0.25">
      <c r="H2967" s="12"/>
      <c r="I2967" s="12"/>
      <c r="J2967" s="12"/>
      <c r="K2967" s="12"/>
      <c r="L2967" s="12"/>
      <c r="M2967" s="11"/>
      <c r="N2967" s="11"/>
      <c r="O2967" s="11"/>
      <c r="P2967" s="11"/>
    </row>
    <row r="2968" spans="8:16" x14ac:dyDescent="0.25">
      <c r="H2968" s="12"/>
      <c r="I2968" s="12"/>
      <c r="J2968" s="12"/>
      <c r="K2968" s="12"/>
      <c r="L2968" s="12"/>
      <c r="M2968" s="11"/>
      <c r="N2968" s="11"/>
      <c r="O2968" s="11"/>
      <c r="P2968" s="11"/>
    </row>
    <row r="2969" spans="8:16" x14ac:dyDescent="0.25">
      <c r="H2969" s="12"/>
      <c r="I2969" s="12"/>
      <c r="J2969" s="12"/>
      <c r="K2969" s="12"/>
      <c r="L2969" s="12"/>
      <c r="M2969" s="11"/>
      <c r="N2969" s="11"/>
      <c r="O2969" s="11"/>
      <c r="P2969" s="11"/>
    </row>
    <row r="2970" spans="8:16" x14ac:dyDescent="0.25">
      <c r="H2970" s="12"/>
      <c r="I2970" s="12"/>
      <c r="J2970" s="12"/>
      <c r="K2970" s="12"/>
      <c r="L2970" s="12"/>
      <c r="M2970" s="11"/>
      <c r="N2970" s="11"/>
      <c r="O2970" s="11"/>
      <c r="P2970" s="11"/>
    </row>
    <row r="2971" spans="8:16" x14ac:dyDescent="0.25">
      <c r="H2971" s="12"/>
      <c r="I2971" s="12"/>
      <c r="J2971" s="12"/>
      <c r="K2971" s="12"/>
      <c r="L2971" s="12"/>
      <c r="M2971" s="11"/>
      <c r="N2971" s="11"/>
      <c r="O2971" s="11"/>
      <c r="P2971" s="11"/>
    </row>
    <row r="2972" spans="8:16" x14ac:dyDescent="0.25">
      <c r="H2972" s="12"/>
      <c r="I2972" s="12"/>
      <c r="J2972" s="12"/>
      <c r="K2972" s="12"/>
      <c r="L2972" s="12"/>
      <c r="M2972" s="11"/>
      <c r="N2972" s="11"/>
      <c r="O2972" s="11"/>
      <c r="P2972" s="11"/>
    </row>
    <row r="2973" spans="8:16" x14ac:dyDescent="0.25">
      <c r="H2973" s="12"/>
      <c r="I2973" s="12"/>
      <c r="J2973" s="12"/>
      <c r="K2973" s="12"/>
      <c r="L2973" s="12"/>
      <c r="M2973" s="11"/>
      <c r="N2973" s="11"/>
      <c r="O2973" s="11"/>
      <c r="P2973" s="11"/>
    </row>
    <row r="2974" spans="8:16" x14ac:dyDescent="0.25">
      <c r="H2974" s="12"/>
      <c r="I2974" s="12"/>
      <c r="J2974" s="12"/>
      <c r="K2974" s="12"/>
      <c r="L2974" s="12"/>
      <c r="M2974" s="11"/>
      <c r="N2974" s="11"/>
      <c r="O2974" s="11"/>
      <c r="P2974" s="11"/>
    </row>
    <row r="2975" spans="8:16" x14ac:dyDescent="0.25">
      <c r="H2975" s="12"/>
      <c r="I2975" s="12"/>
      <c r="J2975" s="12"/>
      <c r="K2975" s="12"/>
      <c r="L2975" s="12"/>
      <c r="M2975" s="11"/>
      <c r="N2975" s="11"/>
      <c r="O2975" s="11"/>
      <c r="P2975" s="11"/>
    </row>
    <row r="2976" spans="8:16" x14ac:dyDescent="0.25">
      <c r="H2976" s="12"/>
      <c r="I2976" s="12"/>
      <c r="J2976" s="12"/>
      <c r="K2976" s="12"/>
      <c r="L2976" s="12"/>
      <c r="M2976" s="11"/>
      <c r="N2976" s="11"/>
      <c r="O2976" s="11"/>
      <c r="P2976" s="11"/>
    </row>
    <row r="2977" spans="8:16" x14ac:dyDescent="0.25">
      <c r="H2977" s="12"/>
      <c r="I2977" s="12"/>
      <c r="J2977" s="12"/>
      <c r="K2977" s="12"/>
      <c r="L2977" s="12"/>
      <c r="M2977" s="11"/>
      <c r="N2977" s="11"/>
      <c r="O2977" s="11"/>
      <c r="P2977" s="11"/>
    </row>
    <row r="2978" spans="8:16" x14ac:dyDescent="0.25">
      <c r="H2978" s="12"/>
      <c r="I2978" s="12"/>
      <c r="J2978" s="12"/>
      <c r="K2978" s="12"/>
      <c r="L2978" s="12"/>
      <c r="M2978" s="11"/>
      <c r="N2978" s="11"/>
      <c r="O2978" s="11"/>
      <c r="P2978" s="11"/>
    </row>
    <row r="2979" spans="8:16" x14ac:dyDescent="0.25">
      <c r="H2979" s="12"/>
      <c r="I2979" s="12"/>
      <c r="J2979" s="12"/>
      <c r="K2979" s="12"/>
      <c r="L2979" s="12"/>
      <c r="M2979" s="11"/>
      <c r="N2979" s="11"/>
      <c r="O2979" s="11"/>
      <c r="P2979" s="11"/>
    </row>
    <row r="2980" spans="8:16" x14ac:dyDescent="0.25">
      <c r="H2980" s="12"/>
      <c r="I2980" s="12"/>
      <c r="J2980" s="12"/>
      <c r="K2980" s="12"/>
      <c r="L2980" s="12"/>
      <c r="M2980" s="11"/>
      <c r="N2980" s="11"/>
      <c r="O2980" s="11"/>
      <c r="P2980" s="11"/>
    </row>
    <row r="2981" spans="8:16" x14ac:dyDescent="0.25">
      <c r="H2981" s="12"/>
      <c r="I2981" s="12"/>
      <c r="J2981" s="12"/>
      <c r="K2981" s="12"/>
      <c r="L2981" s="12"/>
      <c r="M2981" s="11"/>
      <c r="N2981" s="11"/>
      <c r="O2981" s="11"/>
      <c r="P2981" s="11"/>
    </row>
    <row r="2982" spans="8:16" x14ac:dyDescent="0.25">
      <c r="H2982" s="12"/>
      <c r="I2982" s="12"/>
      <c r="J2982" s="12"/>
      <c r="K2982" s="12"/>
      <c r="L2982" s="12"/>
      <c r="M2982" s="11"/>
      <c r="N2982" s="11"/>
      <c r="O2982" s="11"/>
      <c r="P2982" s="11"/>
    </row>
    <row r="2983" spans="8:16" x14ac:dyDescent="0.25">
      <c r="H2983" s="12"/>
      <c r="I2983" s="12"/>
      <c r="J2983" s="12"/>
      <c r="K2983" s="12"/>
      <c r="L2983" s="12"/>
      <c r="M2983" s="11"/>
      <c r="N2983" s="11"/>
      <c r="O2983" s="11"/>
      <c r="P2983" s="11"/>
    </row>
    <row r="2984" spans="8:16" x14ac:dyDescent="0.25">
      <c r="H2984" s="12"/>
      <c r="I2984" s="12"/>
      <c r="J2984" s="12"/>
      <c r="K2984" s="12"/>
      <c r="L2984" s="12"/>
      <c r="M2984" s="11"/>
      <c r="N2984" s="11"/>
      <c r="O2984" s="11"/>
      <c r="P2984" s="11"/>
    </row>
    <row r="2985" spans="8:16" x14ac:dyDescent="0.25">
      <c r="H2985" s="12"/>
      <c r="I2985" s="12"/>
      <c r="J2985" s="12"/>
      <c r="K2985" s="12"/>
      <c r="L2985" s="12"/>
      <c r="M2985" s="11"/>
      <c r="N2985" s="11"/>
      <c r="O2985" s="11"/>
      <c r="P2985" s="11"/>
    </row>
    <row r="2986" spans="8:16" x14ac:dyDescent="0.25">
      <c r="H2986" s="12"/>
      <c r="I2986" s="12"/>
      <c r="J2986" s="12"/>
      <c r="K2986" s="12"/>
      <c r="L2986" s="12"/>
      <c r="M2986" s="11"/>
      <c r="N2986" s="11"/>
      <c r="O2986" s="11"/>
      <c r="P2986" s="11"/>
    </row>
    <row r="2987" spans="8:16" x14ac:dyDescent="0.25">
      <c r="H2987" s="12"/>
      <c r="I2987" s="12"/>
      <c r="J2987" s="12"/>
      <c r="K2987" s="12"/>
      <c r="L2987" s="12"/>
      <c r="M2987" s="11"/>
      <c r="N2987" s="11"/>
      <c r="O2987" s="11"/>
      <c r="P2987" s="11"/>
    </row>
    <row r="2988" spans="8:16" x14ac:dyDescent="0.25">
      <c r="H2988" s="12"/>
      <c r="I2988" s="12"/>
      <c r="J2988" s="12"/>
      <c r="K2988" s="12"/>
      <c r="L2988" s="12"/>
      <c r="M2988" s="11"/>
      <c r="N2988" s="11"/>
      <c r="O2988" s="11"/>
      <c r="P2988" s="11"/>
    </row>
    <row r="2989" spans="8:16" x14ac:dyDescent="0.25">
      <c r="H2989" s="12"/>
      <c r="I2989" s="12"/>
      <c r="J2989" s="12"/>
      <c r="K2989" s="12"/>
      <c r="L2989" s="12"/>
      <c r="M2989" s="11"/>
      <c r="N2989" s="11"/>
      <c r="O2989" s="11"/>
      <c r="P2989" s="11"/>
    </row>
    <row r="2990" spans="8:16" x14ac:dyDescent="0.25">
      <c r="H2990" s="12"/>
      <c r="I2990" s="12"/>
      <c r="J2990" s="12"/>
      <c r="K2990" s="12"/>
      <c r="L2990" s="12"/>
      <c r="M2990" s="11"/>
      <c r="N2990" s="11"/>
      <c r="O2990" s="11"/>
      <c r="P2990" s="11"/>
    </row>
    <row r="2991" spans="8:16" x14ac:dyDescent="0.25">
      <c r="H2991" s="12"/>
      <c r="I2991" s="12"/>
      <c r="J2991" s="12"/>
      <c r="K2991" s="12"/>
      <c r="L2991" s="12"/>
      <c r="M2991" s="11"/>
      <c r="N2991" s="11"/>
      <c r="O2991" s="11"/>
      <c r="P2991" s="11"/>
    </row>
    <row r="2992" spans="8:16" x14ac:dyDescent="0.25">
      <c r="H2992" s="12"/>
      <c r="I2992" s="12"/>
      <c r="J2992" s="12"/>
      <c r="K2992" s="12"/>
      <c r="L2992" s="12"/>
      <c r="M2992" s="11"/>
      <c r="N2992" s="11"/>
      <c r="O2992" s="11"/>
      <c r="P2992" s="11"/>
    </row>
    <row r="2993" spans="8:16" x14ac:dyDescent="0.25">
      <c r="H2993" s="12"/>
      <c r="I2993" s="12"/>
      <c r="J2993" s="12"/>
      <c r="K2993" s="12"/>
      <c r="L2993" s="12"/>
      <c r="M2993" s="11"/>
      <c r="N2993" s="11"/>
      <c r="O2993" s="11"/>
      <c r="P2993" s="11"/>
    </row>
    <row r="2994" spans="8:16" x14ac:dyDescent="0.25">
      <c r="H2994" s="12"/>
      <c r="I2994" s="12"/>
      <c r="J2994" s="12"/>
      <c r="K2994" s="12"/>
      <c r="L2994" s="12"/>
      <c r="M2994" s="11"/>
      <c r="N2994" s="11"/>
      <c r="O2994" s="11"/>
      <c r="P2994" s="11"/>
    </row>
    <row r="2995" spans="8:16" x14ac:dyDescent="0.25">
      <c r="H2995" s="12"/>
      <c r="I2995" s="12"/>
      <c r="J2995" s="12"/>
      <c r="K2995" s="12"/>
      <c r="L2995" s="12"/>
      <c r="M2995" s="11"/>
      <c r="N2995" s="11"/>
      <c r="O2995" s="11"/>
      <c r="P2995" s="11"/>
    </row>
    <row r="2996" spans="8:16" x14ac:dyDescent="0.25">
      <c r="H2996" s="12"/>
      <c r="I2996" s="12"/>
      <c r="J2996" s="12"/>
      <c r="K2996" s="12"/>
      <c r="L2996" s="12"/>
      <c r="M2996" s="11"/>
      <c r="N2996" s="11"/>
      <c r="O2996" s="11"/>
      <c r="P2996" s="11"/>
    </row>
    <row r="2997" spans="8:16" x14ac:dyDescent="0.25">
      <c r="H2997" s="12"/>
      <c r="I2997" s="12"/>
      <c r="J2997" s="12"/>
      <c r="K2997" s="12"/>
      <c r="L2997" s="12"/>
      <c r="M2997" s="11"/>
      <c r="N2997" s="11"/>
      <c r="O2997" s="11"/>
      <c r="P2997" s="11"/>
    </row>
    <row r="2998" spans="8:16" x14ac:dyDescent="0.25">
      <c r="H2998" s="12"/>
      <c r="I2998" s="12"/>
      <c r="J2998" s="12"/>
      <c r="K2998" s="12"/>
      <c r="L2998" s="12"/>
      <c r="M2998" s="11"/>
      <c r="N2998" s="11"/>
      <c r="O2998" s="11"/>
      <c r="P2998" s="11"/>
    </row>
    <row r="2999" spans="8:16" x14ac:dyDescent="0.25">
      <c r="H2999" s="12"/>
      <c r="I2999" s="12"/>
      <c r="J2999" s="12"/>
      <c r="K2999" s="12"/>
      <c r="L2999" s="12"/>
      <c r="M2999" s="11"/>
      <c r="N2999" s="11"/>
      <c r="O2999" s="11"/>
      <c r="P2999" s="11"/>
    </row>
    <row r="3000" spans="8:16" x14ac:dyDescent="0.25">
      <c r="H3000" s="12"/>
      <c r="I3000" s="12"/>
      <c r="J3000" s="12"/>
      <c r="K3000" s="12"/>
      <c r="L3000" s="12"/>
      <c r="M3000" s="11"/>
      <c r="N3000" s="11"/>
      <c r="O3000" s="11"/>
      <c r="P3000" s="11"/>
    </row>
    <row r="3001" spans="8:16" x14ac:dyDescent="0.25">
      <c r="H3001" s="12"/>
      <c r="I3001" s="12"/>
      <c r="J3001" s="12"/>
      <c r="K3001" s="12"/>
      <c r="L3001" s="12"/>
      <c r="M3001" s="11"/>
      <c r="N3001" s="11"/>
      <c r="O3001" s="11"/>
      <c r="P3001" s="11"/>
    </row>
    <row r="3002" spans="8:16" x14ac:dyDescent="0.25">
      <c r="H3002" s="12"/>
      <c r="I3002" s="12"/>
      <c r="J3002" s="12"/>
      <c r="K3002" s="12"/>
      <c r="L3002" s="12"/>
      <c r="M3002" s="11"/>
      <c r="N3002" s="11"/>
      <c r="O3002" s="11"/>
      <c r="P3002" s="11"/>
    </row>
    <row r="3003" spans="8:16" x14ac:dyDescent="0.25">
      <c r="H3003" s="12"/>
      <c r="I3003" s="12"/>
      <c r="J3003" s="12"/>
      <c r="K3003" s="12"/>
      <c r="L3003" s="12"/>
      <c r="M3003" s="11"/>
      <c r="N3003" s="11"/>
      <c r="O3003" s="11"/>
      <c r="P3003" s="11"/>
    </row>
    <row r="3004" spans="8:16" x14ac:dyDescent="0.25">
      <c r="H3004" s="12"/>
      <c r="I3004" s="12"/>
      <c r="J3004" s="12"/>
      <c r="K3004" s="12"/>
      <c r="L3004" s="12"/>
      <c r="M3004" s="11"/>
      <c r="N3004" s="11"/>
      <c r="O3004" s="11"/>
      <c r="P3004" s="11"/>
    </row>
    <row r="3005" spans="8:16" x14ac:dyDescent="0.25">
      <c r="H3005" s="12"/>
      <c r="I3005" s="12"/>
      <c r="J3005" s="12"/>
      <c r="K3005" s="12"/>
      <c r="L3005" s="12"/>
      <c r="M3005" s="11"/>
      <c r="N3005" s="11"/>
      <c r="O3005" s="11"/>
      <c r="P3005" s="11"/>
    </row>
    <row r="3006" spans="8:16" x14ac:dyDescent="0.25">
      <c r="H3006" s="12"/>
      <c r="I3006" s="12"/>
      <c r="J3006" s="12"/>
      <c r="K3006" s="12"/>
      <c r="L3006" s="12"/>
      <c r="M3006" s="11"/>
      <c r="N3006" s="11"/>
      <c r="O3006" s="11"/>
      <c r="P3006" s="11"/>
    </row>
    <row r="3007" spans="8:16" x14ac:dyDescent="0.25">
      <c r="H3007" s="12"/>
      <c r="I3007" s="12"/>
      <c r="J3007" s="12"/>
      <c r="K3007" s="12"/>
      <c r="L3007" s="12"/>
      <c r="M3007" s="11"/>
      <c r="N3007" s="11"/>
      <c r="O3007" s="11"/>
      <c r="P3007" s="11"/>
    </row>
    <row r="3008" spans="8:16" x14ac:dyDescent="0.25">
      <c r="H3008" s="12"/>
      <c r="I3008" s="12"/>
      <c r="J3008" s="12"/>
      <c r="K3008" s="12"/>
      <c r="L3008" s="12"/>
      <c r="M3008" s="11"/>
      <c r="N3008" s="11"/>
      <c r="O3008" s="11"/>
      <c r="P3008" s="11"/>
    </row>
    <row r="3009" spans="8:16" x14ac:dyDescent="0.25">
      <c r="H3009" s="12"/>
      <c r="I3009" s="12"/>
      <c r="J3009" s="12"/>
      <c r="K3009" s="12"/>
      <c r="L3009" s="12"/>
      <c r="M3009" s="11"/>
      <c r="N3009" s="11"/>
      <c r="O3009" s="11"/>
      <c r="P3009" s="11"/>
    </row>
    <row r="3010" spans="8:16" x14ac:dyDescent="0.25">
      <c r="H3010" s="12"/>
      <c r="I3010" s="12"/>
      <c r="J3010" s="12"/>
      <c r="K3010" s="12"/>
      <c r="L3010" s="12"/>
      <c r="M3010" s="11"/>
      <c r="N3010" s="11"/>
      <c r="O3010" s="11"/>
      <c r="P3010" s="11"/>
    </row>
    <row r="3011" spans="8:16" x14ac:dyDescent="0.25">
      <c r="H3011" s="12"/>
      <c r="I3011" s="12"/>
      <c r="J3011" s="12"/>
      <c r="K3011" s="12"/>
      <c r="L3011" s="12"/>
      <c r="M3011" s="11"/>
      <c r="N3011" s="11"/>
      <c r="O3011" s="11"/>
      <c r="P3011" s="11"/>
    </row>
    <row r="3012" spans="8:16" x14ac:dyDescent="0.25">
      <c r="H3012" s="12"/>
      <c r="I3012" s="12"/>
      <c r="J3012" s="12"/>
      <c r="K3012" s="12"/>
      <c r="L3012" s="12"/>
      <c r="M3012" s="11"/>
      <c r="N3012" s="11"/>
      <c r="O3012" s="11"/>
      <c r="P3012" s="11"/>
    </row>
    <row r="3013" spans="8:16" x14ac:dyDescent="0.25">
      <c r="H3013" s="12"/>
      <c r="I3013" s="12"/>
      <c r="J3013" s="12"/>
      <c r="K3013" s="12"/>
      <c r="L3013" s="12"/>
      <c r="M3013" s="11"/>
      <c r="N3013" s="11"/>
      <c r="O3013" s="11"/>
      <c r="P3013" s="11"/>
    </row>
    <row r="3014" spans="8:16" x14ac:dyDescent="0.25">
      <c r="H3014" s="12"/>
      <c r="I3014" s="12"/>
      <c r="J3014" s="12"/>
      <c r="K3014" s="12"/>
      <c r="L3014" s="12"/>
      <c r="M3014" s="11"/>
      <c r="N3014" s="11"/>
      <c r="O3014" s="11"/>
      <c r="P3014" s="11"/>
    </row>
    <row r="3015" spans="8:16" x14ac:dyDescent="0.25">
      <c r="H3015" s="12"/>
      <c r="I3015" s="12"/>
      <c r="J3015" s="12"/>
      <c r="K3015" s="12"/>
      <c r="L3015" s="12"/>
      <c r="M3015" s="11"/>
      <c r="N3015" s="11"/>
      <c r="O3015" s="11"/>
      <c r="P3015" s="11"/>
    </row>
    <row r="3016" spans="8:16" x14ac:dyDescent="0.25">
      <c r="H3016" s="12"/>
      <c r="I3016" s="12"/>
      <c r="J3016" s="12"/>
      <c r="K3016" s="12"/>
      <c r="L3016" s="12"/>
      <c r="M3016" s="11"/>
      <c r="N3016" s="11"/>
      <c r="O3016" s="11"/>
      <c r="P3016" s="11"/>
    </row>
    <row r="3017" spans="8:16" x14ac:dyDescent="0.25">
      <c r="H3017" s="12"/>
      <c r="I3017" s="12"/>
      <c r="J3017" s="12"/>
      <c r="K3017" s="12"/>
      <c r="L3017" s="12"/>
      <c r="M3017" s="11"/>
      <c r="N3017" s="11"/>
      <c r="O3017" s="11"/>
      <c r="P3017" s="11"/>
    </row>
    <row r="3018" spans="8:16" x14ac:dyDescent="0.25">
      <c r="H3018" s="12"/>
      <c r="I3018" s="12"/>
      <c r="J3018" s="12"/>
      <c r="K3018" s="12"/>
      <c r="L3018" s="12"/>
      <c r="M3018" s="11"/>
      <c r="N3018" s="11"/>
      <c r="O3018" s="11"/>
      <c r="P3018" s="11"/>
    </row>
    <row r="3019" spans="8:16" x14ac:dyDescent="0.25">
      <c r="H3019" s="12"/>
      <c r="I3019" s="12"/>
      <c r="J3019" s="12"/>
      <c r="K3019" s="12"/>
      <c r="L3019" s="12"/>
      <c r="M3019" s="11"/>
      <c r="N3019" s="11"/>
      <c r="O3019" s="11"/>
      <c r="P3019" s="11"/>
    </row>
    <row r="3020" spans="8:16" x14ac:dyDescent="0.25">
      <c r="H3020" s="12"/>
      <c r="I3020" s="12"/>
      <c r="J3020" s="12"/>
      <c r="K3020" s="12"/>
      <c r="L3020" s="12"/>
      <c r="M3020" s="11"/>
      <c r="N3020" s="11"/>
      <c r="O3020" s="11"/>
      <c r="P3020" s="11"/>
    </row>
    <row r="3021" spans="8:16" x14ac:dyDescent="0.25">
      <c r="H3021" s="12"/>
      <c r="I3021" s="12"/>
      <c r="J3021" s="12"/>
      <c r="K3021" s="12"/>
      <c r="L3021" s="12"/>
      <c r="M3021" s="11"/>
      <c r="N3021" s="11"/>
      <c r="O3021" s="11"/>
      <c r="P3021" s="11"/>
    </row>
    <row r="3022" spans="8:16" x14ac:dyDescent="0.25">
      <c r="H3022" s="12"/>
      <c r="I3022" s="12"/>
      <c r="J3022" s="12"/>
      <c r="K3022" s="12"/>
      <c r="L3022" s="12"/>
      <c r="M3022" s="11"/>
      <c r="N3022" s="11"/>
      <c r="O3022" s="11"/>
      <c r="P3022" s="11"/>
    </row>
    <row r="3023" spans="8:16" x14ac:dyDescent="0.25">
      <c r="H3023" s="12"/>
      <c r="I3023" s="12"/>
      <c r="J3023" s="12"/>
      <c r="K3023" s="12"/>
      <c r="L3023" s="12"/>
      <c r="M3023" s="11"/>
      <c r="N3023" s="11"/>
      <c r="O3023" s="11"/>
      <c r="P3023" s="11"/>
    </row>
    <row r="3024" spans="8:16" x14ac:dyDescent="0.25">
      <c r="H3024" s="12"/>
      <c r="I3024" s="12"/>
      <c r="J3024" s="12"/>
      <c r="K3024" s="12"/>
      <c r="L3024" s="12"/>
      <c r="M3024" s="11"/>
      <c r="N3024" s="11"/>
      <c r="O3024" s="11"/>
      <c r="P3024" s="11"/>
    </row>
    <row r="3025" spans="8:16" x14ac:dyDescent="0.25">
      <c r="H3025" s="12"/>
      <c r="I3025" s="12"/>
      <c r="J3025" s="12"/>
      <c r="K3025" s="12"/>
      <c r="L3025" s="12"/>
      <c r="M3025" s="11"/>
      <c r="N3025" s="11"/>
      <c r="O3025" s="11"/>
      <c r="P3025" s="11"/>
    </row>
    <row r="3026" spans="8:16" x14ac:dyDescent="0.25">
      <c r="H3026" s="12"/>
      <c r="I3026" s="12"/>
      <c r="J3026" s="12"/>
      <c r="K3026" s="12"/>
      <c r="L3026" s="12"/>
      <c r="M3026" s="11"/>
      <c r="N3026" s="11"/>
      <c r="O3026" s="11"/>
      <c r="P3026" s="11"/>
    </row>
    <row r="3027" spans="8:16" x14ac:dyDescent="0.25">
      <c r="H3027" s="12"/>
      <c r="I3027" s="12"/>
      <c r="J3027" s="12"/>
      <c r="K3027" s="12"/>
      <c r="L3027" s="12"/>
      <c r="M3027" s="11"/>
      <c r="N3027" s="11"/>
      <c r="O3027" s="11"/>
      <c r="P3027" s="11"/>
    </row>
    <row r="3028" spans="8:16" x14ac:dyDescent="0.25">
      <c r="H3028" s="12"/>
      <c r="I3028" s="12"/>
      <c r="J3028" s="12"/>
      <c r="K3028" s="12"/>
      <c r="L3028" s="12"/>
      <c r="M3028" s="11"/>
      <c r="N3028" s="11"/>
      <c r="O3028" s="11"/>
      <c r="P3028" s="11"/>
    </row>
    <row r="3029" spans="8:16" x14ac:dyDescent="0.25">
      <c r="H3029" s="12"/>
      <c r="I3029" s="12"/>
      <c r="J3029" s="12"/>
      <c r="K3029" s="12"/>
      <c r="L3029" s="12"/>
      <c r="M3029" s="11"/>
      <c r="N3029" s="11"/>
      <c r="O3029" s="11"/>
      <c r="P3029" s="11"/>
    </row>
    <row r="3030" spans="8:16" x14ac:dyDescent="0.25">
      <c r="H3030" s="12"/>
      <c r="I3030" s="12"/>
      <c r="J3030" s="12"/>
      <c r="K3030" s="12"/>
      <c r="L3030" s="12"/>
      <c r="M3030" s="11"/>
      <c r="N3030" s="11"/>
      <c r="O3030" s="11"/>
      <c r="P3030" s="11"/>
    </row>
    <row r="3031" spans="8:16" x14ac:dyDescent="0.25">
      <c r="H3031" s="12"/>
      <c r="I3031" s="12"/>
      <c r="J3031" s="12"/>
      <c r="K3031" s="12"/>
      <c r="L3031" s="12"/>
      <c r="M3031" s="11"/>
      <c r="N3031" s="11"/>
      <c r="O3031" s="11"/>
      <c r="P3031" s="11"/>
    </row>
    <row r="3032" spans="8:16" x14ac:dyDescent="0.25">
      <c r="H3032" s="12"/>
      <c r="I3032" s="12"/>
      <c r="J3032" s="12"/>
      <c r="K3032" s="12"/>
      <c r="L3032" s="12"/>
      <c r="M3032" s="11"/>
      <c r="N3032" s="11"/>
      <c r="O3032" s="11"/>
      <c r="P3032" s="11"/>
    </row>
    <row r="3033" spans="8:16" x14ac:dyDescent="0.25">
      <c r="H3033" s="12"/>
      <c r="I3033" s="12"/>
      <c r="J3033" s="12"/>
      <c r="K3033" s="12"/>
      <c r="L3033" s="12"/>
      <c r="M3033" s="11"/>
      <c r="N3033" s="11"/>
      <c r="O3033" s="11"/>
      <c r="P3033" s="11"/>
    </row>
    <row r="3034" spans="8:16" x14ac:dyDescent="0.25">
      <c r="H3034" s="12"/>
      <c r="I3034" s="12"/>
      <c r="J3034" s="12"/>
      <c r="K3034" s="12"/>
      <c r="L3034" s="12"/>
      <c r="M3034" s="11"/>
      <c r="N3034" s="11"/>
      <c r="O3034" s="11"/>
      <c r="P3034" s="11"/>
    </row>
    <row r="3035" spans="8:16" x14ac:dyDescent="0.25">
      <c r="H3035" s="12"/>
      <c r="I3035" s="12"/>
      <c r="J3035" s="12"/>
      <c r="K3035" s="12"/>
      <c r="L3035" s="12"/>
      <c r="M3035" s="11"/>
      <c r="N3035" s="11"/>
      <c r="O3035" s="11"/>
      <c r="P3035" s="11"/>
    </row>
    <row r="3036" spans="8:16" x14ac:dyDescent="0.25">
      <c r="H3036" s="12"/>
      <c r="I3036" s="12"/>
      <c r="J3036" s="12"/>
      <c r="K3036" s="12"/>
      <c r="L3036" s="12"/>
      <c r="M3036" s="11"/>
      <c r="N3036" s="11"/>
      <c r="O3036" s="11"/>
      <c r="P3036" s="11"/>
    </row>
    <row r="3037" spans="8:16" x14ac:dyDescent="0.25">
      <c r="H3037" s="12"/>
      <c r="I3037" s="12"/>
      <c r="J3037" s="12"/>
      <c r="K3037" s="12"/>
      <c r="L3037" s="12"/>
      <c r="M3037" s="11"/>
      <c r="N3037" s="11"/>
      <c r="O3037" s="11"/>
      <c r="P3037" s="11"/>
    </row>
    <row r="3038" spans="8:16" x14ac:dyDescent="0.25">
      <c r="H3038" s="12"/>
      <c r="I3038" s="12"/>
      <c r="J3038" s="12"/>
      <c r="K3038" s="12"/>
      <c r="L3038" s="12"/>
      <c r="M3038" s="11"/>
      <c r="N3038" s="11"/>
      <c r="O3038" s="11"/>
      <c r="P3038" s="11"/>
    </row>
    <row r="3039" spans="8:16" x14ac:dyDescent="0.25">
      <c r="H3039" s="12"/>
      <c r="I3039" s="12"/>
      <c r="J3039" s="12"/>
      <c r="K3039" s="12"/>
      <c r="L3039" s="12"/>
      <c r="M3039" s="11"/>
      <c r="N3039" s="11"/>
      <c r="O3039" s="11"/>
      <c r="P3039" s="11"/>
    </row>
    <row r="3040" spans="8:16" x14ac:dyDescent="0.25">
      <c r="H3040" s="12"/>
      <c r="I3040" s="12"/>
      <c r="J3040" s="12"/>
      <c r="K3040" s="12"/>
      <c r="L3040" s="12"/>
      <c r="M3040" s="11"/>
      <c r="N3040" s="11"/>
      <c r="O3040" s="11"/>
      <c r="P3040" s="11"/>
    </row>
    <row r="3041" spans="8:16" x14ac:dyDescent="0.25">
      <c r="H3041" s="12"/>
      <c r="I3041" s="12"/>
      <c r="J3041" s="12"/>
      <c r="K3041" s="12"/>
      <c r="L3041" s="12"/>
      <c r="M3041" s="11"/>
      <c r="N3041" s="11"/>
      <c r="O3041" s="11"/>
      <c r="P3041" s="11"/>
    </row>
    <row r="3042" spans="8:16" x14ac:dyDescent="0.25">
      <c r="H3042" s="12"/>
      <c r="I3042" s="12"/>
      <c r="J3042" s="12"/>
      <c r="K3042" s="12"/>
      <c r="L3042" s="12"/>
      <c r="M3042" s="11"/>
      <c r="N3042" s="11"/>
      <c r="O3042" s="11"/>
      <c r="P3042" s="11"/>
    </row>
    <row r="3043" spans="8:16" x14ac:dyDescent="0.25">
      <c r="H3043" s="12"/>
      <c r="I3043" s="12"/>
      <c r="J3043" s="12"/>
      <c r="K3043" s="12"/>
      <c r="L3043" s="12"/>
      <c r="M3043" s="11"/>
      <c r="N3043" s="11"/>
      <c r="O3043" s="11"/>
      <c r="P3043" s="11"/>
    </row>
    <row r="3044" spans="8:16" x14ac:dyDescent="0.25">
      <c r="H3044" s="12"/>
      <c r="I3044" s="12"/>
      <c r="J3044" s="12"/>
      <c r="K3044" s="12"/>
      <c r="L3044" s="12"/>
      <c r="M3044" s="11"/>
      <c r="N3044" s="11"/>
      <c r="O3044" s="11"/>
      <c r="P3044" s="11"/>
    </row>
    <row r="3045" spans="8:16" x14ac:dyDescent="0.25">
      <c r="H3045" s="12"/>
      <c r="I3045" s="12"/>
      <c r="J3045" s="12"/>
      <c r="K3045" s="12"/>
      <c r="L3045" s="12"/>
      <c r="M3045" s="11"/>
      <c r="N3045" s="11"/>
      <c r="O3045" s="11"/>
      <c r="P3045" s="11"/>
    </row>
    <row r="3046" spans="8:16" x14ac:dyDescent="0.25">
      <c r="H3046" s="12"/>
      <c r="I3046" s="12"/>
      <c r="J3046" s="12"/>
      <c r="K3046" s="12"/>
      <c r="L3046" s="12"/>
      <c r="M3046" s="11"/>
      <c r="N3046" s="11"/>
      <c r="O3046" s="11"/>
      <c r="P3046" s="11"/>
    </row>
    <row r="3047" spans="8:16" x14ac:dyDescent="0.25">
      <c r="H3047" s="12"/>
      <c r="I3047" s="12"/>
      <c r="J3047" s="12"/>
      <c r="K3047" s="12"/>
      <c r="L3047" s="12"/>
      <c r="M3047" s="11"/>
      <c r="N3047" s="11"/>
      <c r="O3047" s="11"/>
      <c r="P3047" s="11"/>
    </row>
    <row r="3048" spans="8:16" x14ac:dyDescent="0.25">
      <c r="H3048" s="12"/>
      <c r="I3048" s="12"/>
      <c r="J3048" s="12"/>
      <c r="K3048" s="12"/>
      <c r="L3048" s="12"/>
      <c r="M3048" s="11"/>
      <c r="N3048" s="11"/>
      <c r="O3048" s="11"/>
      <c r="P3048" s="11"/>
    </row>
    <row r="3049" spans="8:16" x14ac:dyDescent="0.25">
      <c r="H3049" s="12"/>
      <c r="I3049" s="12"/>
      <c r="J3049" s="12"/>
      <c r="K3049" s="12"/>
      <c r="L3049" s="12"/>
      <c r="M3049" s="11"/>
      <c r="N3049" s="11"/>
      <c r="O3049" s="11"/>
      <c r="P3049" s="11"/>
    </row>
    <row r="3050" spans="8:16" x14ac:dyDescent="0.25">
      <c r="H3050" s="12"/>
      <c r="I3050" s="12"/>
      <c r="J3050" s="12"/>
      <c r="K3050" s="12"/>
      <c r="L3050" s="12"/>
      <c r="M3050" s="11"/>
      <c r="N3050" s="11"/>
      <c r="O3050" s="11"/>
      <c r="P3050" s="11"/>
    </row>
    <row r="3051" spans="8:16" x14ac:dyDescent="0.25">
      <c r="H3051" s="12"/>
      <c r="I3051" s="12"/>
      <c r="J3051" s="12"/>
      <c r="K3051" s="12"/>
      <c r="L3051" s="12"/>
      <c r="M3051" s="11"/>
      <c r="N3051" s="11"/>
      <c r="O3051" s="11"/>
      <c r="P3051" s="11"/>
    </row>
    <row r="3052" spans="8:16" x14ac:dyDescent="0.25">
      <c r="H3052" s="12"/>
      <c r="I3052" s="12"/>
      <c r="J3052" s="12"/>
      <c r="K3052" s="12"/>
      <c r="L3052" s="12"/>
      <c r="M3052" s="11"/>
      <c r="N3052" s="11"/>
      <c r="O3052" s="11"/>
      <c r="P3052" s="11"/>
    </row>
    <row r="3053" spans="8:16" x14ac:dyDescent="0.25">
      <c r="H3053" s="12"/>
      <c r="I3053" s="12"/>
      <c r="J3053" s="12"/>
      <c r="K3053" s="12"/>
      <c r="L3053" s="12"/>
      <c r="M3053" s="11"/>
      <c r="N3053" s="11"/>
      <c r="O3053" s="11"/>
      <c r="P3053" s="11"/>
    </row>
    <row r="3054" spans="8:16" x14ac:dyDescent="0.25">
      <c r="H3054" s="12"/>
      <c r="I3054" s="12"/>
      <c r="J3054" s="12"/>
      <c r="K3054" s="12"/>
      <c r="L3054" s="12"/>
      <c r="M3054" s="11"/>
      <c r="N3054" s="11"/>
      <c r="O3054" s="11"/>
      <c r="P3054" s="11"/>
    </row>
    <row r="3055" spans="8:16" x14ac:dyDescent="0.25">
      <c r="H3055" s="12"/>
      <c r="I3055" s="12"/>
      <c r="J3055" s="12"/>
      <c r="K3055" s="12"/>
      <c r="L3055" s="12"/>
      <c r="M3055" s="11"/>
      <c r="N3055" s="11"/>
      <c r="O3055" s="11"/>
      <c r="P3055" s="11"/>
    </row>
    <row r="3056" spans="8:16" x14ac:dyDescent="0.25">
      <c r="H3056" s="12"/>
      <c r="I3056" s="12"/>
      <c r="J3056" s="12"/>
      <c r="K3056" s="12"/>
      <c r="L3056" s="12"/>
      <c r="M3056" s="11"/>
      <c r="N3056" s="11"/>
      <c r="O3056" s="11"/>
      <c r="P3056" s="11"/>
    </row>
    <row r="3057" spans="8:16" x14ac:dyDescent="0.25">
      <c r="H3057" s="12"/>
      <c r="I3057" s="12"/>
      <c r="J3057" s="12"/>
      <c r="K3057" s="12"/>
      <c r="L3057" s="12"/>
      <c r="M3057" s="11"/>
      <c r="N3057" s="11"/>
      <c r="O3057" s="11"/>
      <c r="P3057" s="11"/>
    </row>
    <row r="3058" spans="8:16" x14ac:dyDescent="0.25">
      <c r="H3058" s="12"/>
      <c r="I3058" s="12"/>
      <c r="J3058" s="12"/>
      <c r="K3058" s="12"/>
      <c r="L3058" s="12"/>
      <c r="M3058" s="11"/>
      <c r="N3058" s="11"/>
      <c r="O3058" s="11"/>
      <c r="P3058" s="11"/>
    </row>
    <row r="3059" spans="8:16" x14ac:dyDescent="0.25">
      <c r="H3059" s="12"/>
      <c r="I3059" s="12"/>
      <c r="J3059" s="12"/>
      <c r="K3059" s="12"/>
      <c r="L3059" s="12"/>
      <c r="M3059" s="11"/>
      <c r="N3059" s="11"/>
      <c r="O3059" s="11"/>
      <c r="P3059" s="11"/>
    </row>
    <row r="3060" spans="8:16" x14ac:dyDescent="0.25">
      <c r="H3060" s="12"/>
      <c r="I3060" s="12"/>
      <c r="J3060" s="12"/>
      <c r="K3060" s="12"/>
      <c r="L3060" s="12"/>
      <c r="M3060" s="11"/>
      <c r="N3060" s="11"/>
      <c r="O3060" s="11"/>
      <c r="P3060" s="11"/>
    </row>
    <row r="3061" spans="8:16" x14ac:dyDescent="0.25">
      <c r="H3061" s="12"/>
      <c r="I3061" s="12"/>
      <c r="J3061" s="12"/>
      <c r="K3061" s="12"/>
      <c r="L3061" s="12"/>
      <c r="M3061" s="11"/>
      <c r="N3061" s="11"/>
      <c r="O3061" s="11"/>
      <c r="P3061" s="11"/>
    </row>
    <row r="3062" spans="8:16" x14ac:dyDescent="0.25">
      <c r="H3062" s="12"/>
      <c r="I3062" s="12"/>
      <c r="J3062" s="12"/>
      <c r="K3062" s="12"/>
      <c r="L3062" s="12"/>
      <c r="M3062" s="11"/>
      <c r="N3062" s="11"/>
      <c r="O3062" s="11"/>
      <c r="P3062" s="11"/>
    </row>
    <row r="3063" spans="8:16" x14ac:dyDescent="0.25">
      <c r="H3063" s="12"/>
      <c r="I3063" s="12"/>
      <c r="J3063" s="12"/>
      <c r="K3063" s="12"/>
      <c r="L3063" s="12"/>
      <c r="M3063" s="11"/>
      <c r="N3063" s="11"/>
      <c r="O3063" s="11"/>
      <c r="P3063" s="11"/>
    </row>
    <row r="3064" spans="8:16" x14ac:dyDescent="0.25">
      <c r="H3064" s="12"/>
      <c r="I3064" s="12"/>
      <c r="J3064" s="12"/>
      <c r="K3064" s="12"/>
      <c r="L3064" s="12"/>
      <c r="M3064" s="11"/>
      <c r="N3064" s="11"/>
      <c r="O3064" s="11"/>
      <c r="P3064" s="11"/>
    </row>
    <row r="3065" spans="8:16" x14ac:dyDescent="0.25">
      <c r="H3065" s="12"/>
      <c r="I3065" s="12"/>
      <c r="J3065" s="12"/>
      <c r="K3065" s="12"/>
      <c r="L3065" s="12"/>
      <c r="M3065" s="11"/>
      <c r="N3065" s="11"/>
      <c r="O3065" s="11"/>
      <c r="P3065" s="11"/>
    </row>
    <row r="3066" spans="8:16" x14ac:dyDescent="0.25">
      <c r="H3066" s="12"/>
      <c r="I3066" s="12"/>
      <c r="J3066" s="12"/>
      <c r="K3066" s="12"/>
      <c r="L3066" s="12"/>
      <c r="M3066" s="11"/>
      <c r="N3066" s="11"/>
      <c r="O3066" s="11"/>
      <c r="P3066" s="11"/>
    </row>
    <row r="3067" spans="8:16" x14ac:dyDescent="0.25">
      <c r="H3067" s="12"/>
      <c r="I3067" s="12"/>
      <c r="J3067" s="12"/>
      <c r="K3067" s="12"/>
      <c r="L3067" s="12"/>
      <c r="M3067" s="11"/>
      <c r="N3067" s="11"/>
      <c r="O3067" s="11"/>
      <c r="P3067" s="11"/>
    </row>
    <row r="3068" spans="8:16" x14ac:dyDescent="0.25">
      <c r="H3068" s="12"/>
      <c r="I3068" s="12"/>
      <c r="J3068" s="12"/>
      <c r="K3068" s="12"/>
      <c r="L3068" s="12"/>
      <c r="M3068" s="11"/>
      <c r="N3068" s="11"/>
      <c r="O3068" s="11"/>
      <c r="P3068" s="11"/>
    </row>
    <row r="3069" spans="8:16" x14ac:dyDescent="0.25">
      <c r="H3069" s="12"/>
      <c r="I3069" s="12"/>
      <c r="J3069" s="12"/>
      <c r="K3069" s="12"/>
      <c r="L3069" s="12"/>
      <c r="M3069" s="11"/>
      <c r="N3069" s="11"/>
      <c r="O3069" s="11"/>
      <c r="P3069" s="11"/>
    </row>
    <row r="3070" spans="8:16" x14ac:dyDescent="0.25">
      <c r="H3070" s="12"/>
      <c r="I3070" s="12"/>
      <c r="J3070" s="12"/>
      <c r="K3070" s="12"/>
      <c r="L3070" s="12"/>
      <c r="M3070" s="11"/>
      <c r="N3070" s="11"/>
      <c r="O3070" s="11"/>
      <c r="P3070" s="11"/>
    </row>
    <row r="3071" spans="8:16" x14ac:dyDescent="0.25">
      <c r="H3071" s="12"/>
      <c r="I3071" s="12"/>
      <c r="J3071" s="12"/>
      <c r="K3071" s="12"/>
      <c r="L3071" s="12"/>
      <c r="M3071" s="11"/>
      <c r="N3071" s="11"/>
      <c r="O3071" s="11"/>
      <c r="P3071" s="11"/>
    </row>
    <row r="3072" spans="8:16" x14ac:dyDescent="0.25">
      <c r="H3072" s="12"/>
      <c r="I3072" s="12"/>
      <c r="J3072" s="12"/>
      <c r="K3072" s="12"/>
      <c r="L3072" s="12"/>
      <c r="M3072" s="11"/>
      <c r="N3072" s="11"/>
      <c r="O3072" s="11"/>
      <c r="P3072" s="11"/>
    </row>
    <row r="3073" spans="8:16" x14ac:dyDescent="0.25">
      <c r="H3073" s="12"/>
      <c r="I3073" s="12"/>
      <c r="J3073" s="12"/>
      <c r="K3073" s="12"/>
      <c r="L3073" s="12"/>
      <c r="M3073" s="11"/>
      <c r="N3073" s="11"/>
      <c r="O3073" s="11"/>
      <c r="P3073" s="11"/>
    </row>
    <row r="3074" spans="8:16" x14ac:dyDescent="0.25">
      <c r="H3074" s="12"/>
      <c r="I3074" s="12"/>
      <c r="J3074" s="12"/>
      <c r="K3074" s="12"/>
      <c r="L3074" s="12"/>
      <c r="M3074" s="11"/>
      <c r="N3074" s="11"/>
      <c r="O3074" s="11"/>
      <c r="P3074" s="11"/>
    </row>
    <row r="3075" spans="8:16" x14ac:dyDescent="0.25">
      <c r="H3075" s="12"/>
      <c r="I3075" s="12"/>
      <c r="J3075" s="12"/>
      <c r="K3075" s="12"/>
      <c r="L3075" s="12"/>
      <c r="M3075" s="11"/>
      <c r="N3075" s="11"/>
      <c r="O3075" s="11"/>
      <c r="P3075" s="11"/>
    </row>
    <row r="3076" spans="8:16" x14ac:dyDescent="0.25">
      <c r="H3076" s="12"/>
      <c r="I3076" s="12"/>
      <c r="J3076" s="12"/>
      <c r="K3076" s="12"/>
      <c r="L3076" s="12"/>
      <c r="M3076" s="11"/>
      <c r="N3076" s="11"/>
      <c r="O3076" s="11"/>
      <c r="P3076" s="11"/>
    </row>
    <row r="3077" spans="8:16" x14ac:dyDescent="0.25">
      <c r="H3077" s="12"/>
      <c r="I3077" s="12"/>
      <c r="J3077" s="12"/>
      <c r="K3077" s="12"/>
      <c r="L3077" s="12"/>
      <c r="M3077" s="11"/>
      <c r="N3077" s="11"/>
      <c r="O3077" s="11"/>
      <c r="P3077" s="11"/>
    </row>
    <row r="3078" spans="8:16" x14ac:dyDescent="0.25">
      <c r="H3078" s="12"/>
      <c r="I3078" s="12"/>
      <c r="J3078" s="12"/>
      <c r="K3078" s="12"/>
      <c r="L3078" s="12"/>
      <c r="M3078" s="11"/>
      <c r="N3078" s="11"/>
      <c r="O3078" s="11"/>
      <c r="P3078" s="11"/>
    </row>
    <row r="3079" spans="8:16" x14ac:dyDescent="0.25">
      <c r="H3079" s="12"/>
      <c r="I3079" s="12"/>
      <c r="J3079" s="12"/>
      <c r="K3079" s="12"/>
      <c r="L3079" s="12"/>
      <c r="M3079" s="11"/>
      <c r="N3079" s="11"/>
      <c r="O3079" s="11"/>
      <c r="P3079" s="11"/>
    </row>
    <row r="3080" spans="8:16" x14ac:dyDescent="0.25">
      <c r="H3080" s="12"/>
      <c r="I3080" s="12"/>
      <c r="J3080" s="12"/>
      <c r="K3080" s="12"/>
      <c r="L3080" s="12"/>
      <c r="M3080" s="11"/>
      <c r="N3080" s="11"/>
      <c r="O3080" s="11"/>
      <c r="P3080" s="11"/>
    </row>
    <row r="3081" spans="8:16" x14ac:dyDescent="0.25">
      <c r="H3081" s="12"/>
      <c r="I3081" s="12"/>
      <c r="J3081" s="12"/>
      <c r="K3081" s="12"/>
      <c r="L3081" s="12"/>
      <c r="M3081" s="11"/>
      <c r="N3081" s="11"/>
      <c r="O3081" s="11"/>
      <c r="P3081" s="11"/>
    </row>
    <row r="3082" spans="8:16" x14ac:dyDescent="0.25">
      <c r="H3082" s="12"/>
      <c r="I3082" s="12"/>
      <c r="J3082" s="12"/>
      <c r="K3082" s="12"/>
      <c r="L3082" s="12"/>
      <c r="M3082" s="11"/>
      <c r="N3082" s="11"/>
      <c r="O3082" s="11"/>
      <c r="P3082" s="11"/>
    </row>
    <row r="3083" spans="8:16" x14ac:dyDescent="0.25">
      <c r="H3083" s="12"/>
      <c r="I3083" s="12"/>
      <c r="J3083" s="12"/>
      <c r="K3083" s="12"/>
      <c r="L3083" s="12"/>
      <c r="M3083" s="11"/>
      <c r="N3083" s="11"/>
      <c r="O3083" s="11"/>
      <c r="P3083" s="11"/>
    </row>
    <row r="3084" spans="8:16" x14ac:dyDescent="0.25">
      <c r="H3084" s="12"/>
      <c r="I3084" s="12"/>
      <c r="J3084" s="12"/>
      <c r="K3084" s="12"/>
      <c r="L3084" s="12"/>
      <c r="M3084" s="11"/>
      <c r="N3084" s="11"/>
      <c r="O3084" s="11"/>
      <c r="P3084" s="11"/>
    </row>
    <row r="3085" spans="8:16" x14ac:dyDescent="0.25">
      <c r="H3085" s="12"/>
      <c r="I3085" s="12"/>
      <c r="J3085" s="12"/>
      <c r="K3085" s="12"/>
      <c r="L3085" s="12"/>
      <c r="M3085" s="11"/>
      <c r="N3085" s="11"/>
      <c r="O3085" s="11"/>
      <c r="P3085" s="11"/>
    </row>
    <row r="3086" spans="8:16" x14ac:dyDescent="0.25">
      <c r="H3086" s="12"/>
      <c r="I3086" s="12"/>
      <c r="J3086" s="12"/>
      <c r="K3086" s="12"/>
      <c r="L3086" s="12"/>
      <c r="M3086" s="11"/>
      <c r="N3086" s="11"/>
      <c r="O3086" s="11"/>
      <c r="P3086" s="11"/>
    </row>
    <row r="3087" spans="8:16" x14ac:dyDescent="0.25">
      <c r="H3087" s="12"/>
      <c r="I3087" s="12"/>
      <c r="J3087" s="12"/>
      <c r="K3087" s="12"/>
      <c r="L3087" s="12"/>
      <c r="M3087" s="11"/>
      <c r="N3087" s="11"/>
      <c r="O3087" s="11"/>
      <c r="P3087" s="11"/>
    </row>
    <row r="3088" spans="8:16" x14ac:dyDescent="0.25">
      <c r="H3088" s="12"/>
      <c r="I3088" s="12"/>
      <c r="J3088" s="12"/>
      <c r="K3088" s="12"/>
      <c r="L3088" s="12"/>
      <c r="M3088" s="11"/>
      <c r="N3088" s="11"/>
      <c r="O3088" s="11"/>
      <c r="P3088" s="11"/>
    </row>
    <row r="3089" spans="8:16" x14ac:dyDescent="0.25">
      <c r="H3089" s="12"/>
      <c r="I3089" s="12"/>
      <c r="J3089" s="12"/>
      <c r="K3089" s="12"/>
      <c r="L3089" s="12"/>
      <c r="M3089" s="11"/>
      <c r="N3089" s="11"/>
      <c r="O3089" s="11"/>
      <c r="P3089" s="11"/>
    </row>
    <row r="3090" spans="8:16" x14ac:dyDescent="0.25">
      <c r="H3090" s="12"/>
      <c r="I3090" s="12"/>
      <c r="J3090" s="12"/>
      <c r="K3090" s="12"/>
      <c r="L3090" s="12"/>
      <c r="M3090" s="11"/>
      <c r="N3090" s="11"/>
      <c r="O3090" s="11"/>
      <c r="P3090" s="11"/>
    </row>
    <row r="3091" spans="8:16" x14ac:dyDescent="0.25">
      <c r="H3091" s="12"/>
      <c r="I3091" s="12"/>
      <c r="J3091" s="12"/>
      <c r="K3091" s="12"/>
      <c r="L3091" s="12"/>
      <c r="M3091" s="11"/>
      <c r="N3091" s="11"/>
      <c r="O3091" s="11"/>
      <c r="P3091" s="11"/>
    </row>
    <row r="3092" spans="8:16" x14ac:dyDescent="0.25">
      <c r="H3092" s="12"/>
      <c r="I3092" s="12"/>
      <c r="J3092" s="12"/>
      <c r="K3092" s="12"/>
      <c r="L3092" s="12"/>
      <c r="M3092" s="11"/>
      <c r="N3092" s="11"/>
      <c r="O3092" s="11"/>
      <c r="P3092" s="11"/>
    </row>
    <row r="3093" spans="8:16" x14ac:dyDescent="0.25">
      <c r="H3093" s="12"/>
      <c r="I3093" s="12"/>
      <c r="J3093" s="12"/>
      <c r="K3093" s="12"/>
      <c r="L3093" s="12"/>
      <c r="M3093" s="11"/>
      <c r="N3093" s="11"/>
      <c r="O3093" s="11"/>
      <c r="P3093" s="11"/>
    </row>
    <row r="3094" spans="8:16" x14ac:dyDescent="0.25">
      <c r="H3094" s="12"/>
      <c r="I3094" s="12"/>
      <c r="J3094" s="12"/>
      <c r="K3094" s="12"/>
      <c r="L3094" s="12"/>
      <c r="M3094" s="11"/>
      <c r="N3094" s="11"/>
      <c r="O3094" s="11"/>
      <c r="P3094" s="11"/>
    </row>
    <row r="3095" spans="8:16" x14ac:dyDescent="0.25">
      <c r="H3095" s="12"/>
      <c r="I3095" s="12"/>
      <c r="J3095" s="12"/>
      <c r="K3095" s="12"/>
      <c r="L3095" s="12"/>
      <c r="M3095" s="11"/>
      <c r="N3095" s="11"/>
      <c r="O3095" s="11"/>
      <c r="P3095" s="11"/>
    </row>
    <row r="3096" spans="8:16" x14ac:dyDescent="0.25">
      <c r="H3096" s="12"/>
      <c r="I3096" s="12"/>
      <c r="J3096" s="12"/>
      <c r="K3096" s="12"/>
      <c r="L3096" s="12"/>
      <c r="M3096" s="11"/>
      <c r="N3096" s="11"/>
      <c r="O3096" s="11"/>
      <c r="P3096" s="11"/>
    </row>
    <row r="3097" spans="8:16" x14ac:dyDescent="0.25">
      <c r="H3097" s="12"/>
      <c r="I3097" s="12"/>
      <c r="J3097" s="12"/>
      <c r="K3097" s="12"/>
      <c r="L3097" s="12"/>
      <c r="M3097" s="11"/>
      <c r="N3097" s="11"/>
      <c r="O3097" s="11"/>
      <c r="P3097" s="11"/>
    </row>
    <row r="3098" spans="8:16" x14ac:dyDescent="0.25">
      <c r="H3098" s="12"/>
      <c r="I3098" s="12"/>
      <c r="J3098" s="12"/>
      <c r="K3098" s="12"/>
      <c r="L3098" s="12"/>
      <c r="M3098" s="11"/>
      <c r="N3098" s="11"/>
      <c r="O3098" s="11"/>
      <c r="P3098" s="11"/>
    </row>
    <row r="3099" spans="8:16" x14ac:dyDescent="0.25">
      <c r="H3099" s="12"/>
      <c r="I3099" s="12"/>
      <c r="J3099" s="12"/>
      <c r="K3099" s="12"/>
      <c r="L3099" s="12"/>
      <c r="M3099" s="11"/>
      <c r="N3099" s="11"/>
      <c r="O3099" s="11"/>
      <c r="P3099" s="11"/>
    </row>
    <row r="3100" spans="8:16" x14ac:dyDescent="0.25">
      <c r="H3100" s="12"/>
      <c r="I3100" s="12"/>
      <c r="J3100" s="12"/>
      <c r="K3100" s="12"/>
      <c r="L3100" s="12"/>
      <c r="M3100" s="11"/>
      <c r="N3100" s="11"/>
      <c r="O3100" s="11"/>
      <c r="P3100" s="11"/>
    </row>
    <row r="3101" spans="8:16" x14ac:dyDescent="0.25">
      <c r="H3101" s="12"/>
      <c r="I3101" s="12"/>
      <c r="J3101" s="12"/>
      <c r="K3101" s="12"/>
      <c r="L3101" s="12"/>
      <c r="M3101" s="11"/>
      <c r="N3101" s="11"/>
      <c r="O3101" s="11"/>
      <c r="P3101" s="11"/>
    </row>
    <row r="3102" spans="8:16" x14ac:dyDescent="0.25">
      <c r="H3102" s="12"/>
      <c r="I3102" s="12"/>
      <c r="J3102" s="12"/>
      <c r="K3102" s="12"/>
      <c r="L3102" s="12"/>
      <c r="M3102" s="11"/>
      <c r="N3102" s="11"/>
      <c r="O3102" s="11"/>
      <c r="P3102" s="11"/>
    </row>
    <row r="3103" spans="8:16" x14ac:dyDescent="0.25">
      <c r="H3103" s="12"/>
      <c r="I3103" s="12"/>
      <c r="J3103" s="12"/>
      <c r="K3103" s="12"/>
      <c r="L3103" s="12"/>
      <c r="M3103" s="11"/>
      <c r="N3103" s="11"/>
      <c r="O3103" s="11"/>
      <c r="P3103" s="11"/>
    </row>
    <row r="3104" spans="8:16" x14ac:dyDescent="0.25">
      <c r="H3104" s="12"/>
      <c r="I3104" s="12"/>
      <c r="J3104" s="12"/>
      <c r="K3104" s="12"/>
      <c r="L3104" s="12"/>
      <c r="M3104" s="11"/>
      <c r="N3104" s="11"/>
      <c r="O3104" s="11"/>
      <c r="P3104" s="11"/>
    </row>
    <row r="3105" spans="8:16" x14ac:dyDescent="0.25">
      <c r="H3105" s="12"/>
      <c r="I3105" s="12"/>
      <c r="J3105" s="12"/>
      <c r="K3105" s="12"/>
      <c r="L3105" s="12"/>
      <c r="M3105" s="11"/>
      <c r="N3105" s="11"/>
      <c r="O3105" s="11"/>
      <c r="P3105" s="11"/>
    </row>
    <row r="3106" spans="8:16" x14ac:dyDescent="0.25">
      <c r="H3106" s="12"/>
      <c r="I3106" s="12"/>
      <c r="J3106" s="12"/>
      <c r="K3106" s="12"/>
      <c r="L3106" s="12"/>
      <c r="M3106" s="11"/>
      <c r="N3106" s="11"/>
      <c r="O3106" s="11"/>
      <c r="P3106" s="11"/>
    </row>
    <row r="3107" spans="8:16" x14ac:dyDescent="0.25">
      <c r="H3107" s="12"/>
      <c r="I3107" s="12"/>
      <c r="J3107" s="12"/>
      <c r="K3107" s="12"/>
      <c r="L3107" s="12"/>
      <c r="M3107" s="11"/>
      <c r="N3107" s="11"/>
      <c r="O3107" s="11"/>
      <c r="P3107" s="11"/>
    </row>
    <row r="3108" spans="8:16" x14ac:dyDescent="0.25">
      <c r="H3108" s="12"/>
      <c r="I3108" s="12"/>
      <c r="J3108" s="12"/>
      <c r="K3108" s="12"/>
      <c r="L3108" s="12"/>
      <c r="M3108" s="11"/>
      <c r="N3108" s="11"/>
      <c r="O3108" s="11"/>
      <c r="P3108" s="11"/>
    </row>
    <row r="3109" spans="8:16" x14ac:dyDescent="0.25">
      <c r="H3109" s="12"/>
      <c r="I3109" s="12"/>
      <c r="J3109" s="12"/>
      <c r="K3109" s="12"/>
      <c r="L3109" s="12"/>
      <c r="M3109" s="11"/>
      <c r="N3109" s="11"/>
      <c r="O3109" s="11"/>
      <c r="P3109" s="11"/>
    </row>
    <row r="3110" spans="8:16" x14ac:dyDescent="0.25">
      <c r="H3110" s="12"/>
      <c r="I3110" s="12"/>
      <c r="J3110" s="12"/>
      <c r="K3110" s="12"/>
      <c r="L3110" s="12"/>
      <c r="M3110" s="11"/>
      <c r="N3110" s="11"/>
      <c r="O3110" s="11"/>
      <c r="P3110" s="11"/>
    </row>
    <row r="3111" spans="8:16" x14ac:dyDescent="0.25">
      <c r="H3111" s="12"/>
      <c r="I3111" s="12"/>
      <c r="J3111" s="12"/>
      <c r="K3111" s="12"/>
      <c r="L3111" s="12"/>
      <c r="M3111" s="11"/>
      <c r="N3111" s="11"/>
      <c r="O3111" s="11"/>
      <c r="P3111" s="11"/>
    </row>
    <row r="3112" spans="8:16" x14ac:dyDescent="0.25">
      <c r="H3112" s="12"/>
      <c r="I3112" s="12"/>
      <c r="J3112" s="12"/>
      <c r="K3112" s="12"/>
      <c r="L3112" s="12"/>
      <c r="M3112" s="11"/>
      <c r="N3112" s="11"/>
      <c r="O3112" s="11"/>
      <c r="P3112" s="11"/>
    </row>
    <row r="3113" spans="8:16" x14ac:dyDescent="0.25">
      <c r="H3113" s="12"/>
      <c r="I3113" s="12"/>
      <c r="J3113" s="12"/>
      <c r="K3113" s="12"/>
      <c r="L3113" s="12"/>
      <c r="M3113" s="11"/>
      <c r="N3113" s="11"/>
      <c r="O3113" s="11"/>
      <c r="P3113" s="11"/>
    </row>
    <row r="3114" spans="8:16" x14ac:dyDescent="0.25">
      <c r="H3114" s="12"/>
      <c r="I3114" s="12"/>
      <c r="J3114" s="12"/>
      <c r="K3114" s="12"/>
      <c r="L3114" s="12"/>
      <c r="M3114" s="11"/>
      <c r="N3114" s="11"/>
      <c r="O3114" s="11"/>
      <c r="P3114" s="11"/>
    </row>
    <row r="3115" spans="8:16" x14ac:dyDescent="0.25">
      <c r="H3115" s="12"/>
      <c r="I3115" s="12"/>
      <c r="J3115" s="12"/>
      <c r="K3115" s="12"/>
      <c r="L3115" s="12"/>
      <c r="M3115" s="11"/>
      <c r="N3115" s="11"/>
      <c r="O3115" s="11"/>
      <c r="P3115" s="11"/>
    </row>
    <row r="3116" spans="8:16" x14ac:dyDescent="0.25">
      <c r="H3116" s="12"/>
      <c r="I3116" s="12"/>
      <c r="J3116" s="12"/>
      <c r="K3116" s="12"/>
      <c r="L3116" s="12"/>
      <c r="M3116" s="11"/>
      <c r="N3116" s="11"/>
      <c r="O3116" s="11"/>
      <c r="P3116" s="11"/>
    </row>
    <row r="3117" spans="8:16" x14ac:dyDescent="0.25">
      <c r="H3117" s="12"/>
      <c r="I3117" s="12"/>
      <c r="J3117" s="12"/>
      <c r="K3117" s="12"/>
      <c r="L3117" s="12"/>
      <c r="M3117" s="11"/>
      <c r="N3117" s="11"/>
      <c r="O3117" s="11"/>
      <c r="P3117" s="11"/>
    </row>
    <row r="3118" spans="8:16" x14ac:dyDescent="0.25">
      <c r="H3118" s="12"/>
      <c r="I3118" s="12"/>
      <c r="J3118" s="12"/>
      <c r="K3118" s="12"/>
      <c r="L3118" s="12"/>
      <c r="M3118" s="11"/>
      <c r="N3118" s="11"/>
      <c r="O3118" s="11"/>
      <c r="P3118" s="11"/>
    </row>
    <row r="3119" spans="8:16" x14ac:dyDescent="0.25">
      <c r="H3119" s="12"/>
      <c r="I3119" s="12"/>
      <c r="J3119" s="12"/>
      <c r="K3119" s="12"/>
      <c r="L3119" s="12"/>
      <c r="M3119" s="11"/>
      <c r="N3119" s="11"/>
      <c r="O3119" s="11"/>
      <c r="P3119" s="11"/>
    </row>
    <row r="3120" spans="8:16" x14ac:dyDescent="0.25">
      <c r="H3120" s="12"/>
      <c r="I3120" s="12"/>
      <c r="J3120" s="12"/>
      <c r="K3120" s="12"/>
      <c r="L3120" s="12"/>
      <c r="M3120" s="11"/>
      <c r="N3120" s="11"/>
      <c r="O3120" s="11"/>
      <c r="P3120" s="11"/>
    </row>
    <row r="3121" spans="8:16" x14ac:dyDescent="0.25">
      <c r="H3121" s="12"/>
      <c r="I3121" s="12"/>
      <c r="J3121" s="12"/>
      <c r="K3121" s="12"/>
      <c r="L3121" s="12"/>
      <c r="M3121" s="11"/>
      <c r="N3121" s="11"/>
      <c r="O3121" s="11"/>
      <c r="P3121" s="11"/>
    </row>
    <row r="3122" spans="8:16" x14ac:dyDescent="0.25">
      <c r="H3122" s="12"/>
      <c r="I3122" s="12"/>
      <c r="J3122" s="12"/>
      <c r="K3122" s="12"/>
      <c r="L3122" s="12"/>
      <c r="M3122" s="11"/>
      <c r="N3122" s="11"/>
      <c r="O3122" s="11"/>
      <c r="P3122" s="11"/>
    </row>
    <row r="3123" spans="8:16" x14ac:dyDescent="0.25">
      <c r="H3123" s="12"/>
      <c r="I3123" s="12"/>
      <c r="J3123" s="12"/>
      <c r="K3123" s="12"/>
      <c r="L3123" s="12"/>
      <c r="M3123" s="11"/>
      <c r="N3123" s="11"/>
      <c r="O3123" s="11"/>
      <c r="P3123" s="11"/>
    </row>
    <row r="3124" spans="8:16" x14ac:dyDescent="0.25">
      <c r="H3124" s="12"/>
      <c r="I3124" s="12"/>
      <c r="J3124" s="12"/>
      <c r="K3124" s="12"/>
      <c r="L3124" s="12"/>
      <c r="M3124" s="11"/>
      <c r="N3124" s="11"/>
      <c r="O3124" s="11"/>
      <c r="P3124" s="11"/>
    </row>
    <row r="3125" spans="8:16" x14ac:dyDescent="0.25">
      <c r="H3125" s="12"/>
      <c r="I3125" s="12"/>
      <c r="J3125" s="12"/>
      <c r="K3125" s="12"/>
      <c r="L3125" s="12"/>
      <c r="M3125" s="11"/>
      <c r="N3125" s="11"/>
      <c r="O3125" s="11"/>
      <c r="P3125" s="11"/>
    </row>
    <row r="3126" spans="8:16" x14ac:dyDescent="0.25">
      <c r="H3126" s="12"/>
      <c r="I3126" s="12"/>
      <c r="J3126" s="12"/>
      <c r="K3126" s="12"/>
      <c r="L3126" s="12"/>
      <c r="M3126" s="11"/>
      <c r="N3126" s="11"/>
      <c r="O3126" s="11"/>
      <c r="P3126" s="11"/>
    </row>
    <row r="3127" spans="8:16" x14ac:dyDescent="0.25">
      <c r="H3127" s="12"/>
      <c r="I3127" s="12"/>
      <c r="J3127" s="12"/>
      <c r="K3127" s="12"/>
      <c r="L3127" s="12"/>
      <c r="M3127" s="11"/>
      <c r="N3127" s="11"/>
      <c r="O3127" s="11"/>
      <c r="P3127" s="11"/>
    </row>
    <row r="3128" spans="8:16" x14ac:dyDescent="0.25">
      <c r="H3128" s="12"/>
      <c r="I3128" s="12"/>
      <c r="J3128" s="12"/>
      <c r="K3128" s="12"/>
      <c r="L3128" s="12"/>
      <c r="M3128" s="11"/>
      <c r="N3128" s="11"/>
      <c r="O3128" s="11"/>
      <c r="P3128" s="11"/>
    </row>
    <row r="3129" spans="8:16" x14ac:dyDescent="0.25">
      <c r="H3129" s="12"/>
      <c r="I3129" s="12"/>
      <c r="J3129" s="12"/>
      <c r="K3129" s="12"/>
      <c r="L3129" s="12"/>
      <c r="M3129" s="11"/>
      <c r="N3129" s="11"/>
      <c r="O3129" s="11"/>
      <c r="P3129" s="11"/>
    </row>
    <row r="3130" spans="8:16" x14ac:dyDescent="0.25">
      <c r="H3130" s="12"/>
      <c r="I3130" s="12"/>
      <c r="J3130" s="12"/>
      <c r="K3130" s="12"/>
      <c r="L3130" s="12"/>
      <c r="M3130" s="11"/>
      <c r="N3130" s="11"/>
      <c r="O3130" s="11"/>
      <c r="P3130" s="11"/>
    </row>
    <row r="3131" spans="8:16" x14ac:dyDescent="0.25">
      <c r="H3131" s="12"/>
      <c r="I3131" s="12"/>
      <c r="J3131" s="12"/>
      <c r="K3131" s="12"/>
      <c r="L3131" s="12"/>
      <c r="M3131" s="11"/>
      <c r="N3131" s="11"/>
      <c r="O3131" s="11"/>
      <c r="P3131" s="11"/>
    </row>
    <row r="3132" spans="8:16" x14ac:dyDescent="0.25">
      <c r="H3132" s="12"/>
      <c r="I3132" s="12"/>
      <c r="J3132" s="12"/>
      <c r="K3132" s="12"/>
      <c r="L3132" s="12"/>
      <c r="M3132" s="11"/>
      <c r="N3132" s="11"/>
      <c r="O3132" s="11"/>
      <c r="P3132" s="11"/>
    </row>
    <row r="3133" spans="8:16" x14ac:dyDescent="0.25">
      <c r="H3133" s="12"/>
      <c r="I3133" s="12"/>
      <c r="J3133" s="12"/>
      <c r="K3133" s="12"/>
      <c r="L3133" s="12"/>
      <c r="M3133" s="11"/>
      <c r="N3133" s="11"/>
      <c r="O3133" s="11"/>
      <c r="P3133" s="11"/>
    </row>
    <row r="3134" spans="8:16" x14ac:dyDescent="0.25">
      <c r="H3134" s="12"/>
      <c r="I3134" s="12"/>
      <c r="J3134" s="12"/>
      <c r="K3134" s="12"/>
      <c r="L3134" s="12"/>
      <c r="M3134" s="11"/>
      <c r="N3134" s="11"/>
      <c r="O3134" s="11"/>
      <c r="P3134" s="11"/>
    </row>
    <row r="3135" spans="8:16" x14ac:dyDescent="0.25">
      <c r="H3135" s="12"/>
      <c r="I3135" s="12"/>
      <c r="J3135" s="12"/>
      <c r="K3135" s="12"/>
      <c r="L3135" s="12"/>
      <c r="M3135" s="11"/>
      <c r="N3135" s="11"/>
      <c r="O3135" s="11"/>
      <c r="P3135" s="11"/>
    </row>
    <row r="3136" spans="8:16" x14ac:dyDescent="0.25">
      <c r="H3136" s="12"/>
      <c r="I3136" s="12"/>
      <c r="J3136" s="12"/>
      <c r="K3136" s="12"/>
      <c r="L3136" s="12"/>
      <c r="M3136" s="11"/>
      <c r="N3136" s="11"/>
      <c r="O3136" s="11"/>
      <c r="P3136" s="11"/>
    </row>
    <row r="3137" spans="8:16" x14ac:dyDescent="0.25">
      <c r="H3137" s="12"/>
      <c r="I3137" s="12"/>
      <c r="J3137" s="12"/>
      <c r="K3137" s="12"/>
      <c r="L3137" s="12"/>
      <c r="M3137" s="11"/>
      <c r="N3137" s="11"/>
      <c r="O3137" s="11"/>
      <c r="P3137" s="11"/>
    </row>
    <row r="3138" spans="8:16" x14ac:dyDescent="0.25">
      <c r="H3138" s="12"/>
      <c r="I3138" s="12"/>
      <c r="J3138" s="12"/>
      <c r="K3138" s="12"/>
      <c r="L3138" s="12"/>
      <c r="M3138" s="11"/>
      <c r="N3138" s="11"/>
      <c r="O3138" s="11"/>
      <c r="P3138" s="11"/>
    </row>
    <row r="3139" spans="8:16" x14ac:dyDescent="0.25">
      <c r="H3139" s="12"/>
      <c r="I3139" s="12"/>
      <c r="J3139" s="12"/>
      <c r="K3139" s="12"/>
      <c r="L3139" s="12"/>
      <c r="M3139" s="11"/>
      <c r="N3139" s="11"/>
      <c r="O3139" s="11"/>
      <c r="P3139" s="11"/>
    </row>
    <row r="3140" spans="8:16" x14ac:dyDescent="0.25">
      <c r="H3140" s="12"/>
      <c r="I3140" s="12"/>
      <c r="J3140" s="12"/>
      <c r="K3140" s="12"/>
      <c r="L3140" s="12"/>
      <c r="M3140" s="11"/>
      <c r="N3140" s="11"/>
      <c r="O3140" s="11"/>
      <c r="P3140" s="11"/>
    </row>
    <row r="3141" spans="8:16" x14ac:dyDescent="0.25">
      <c r="H3141" s="12"/>
      <c r="I3141" s="12"/>
      <c r="J3141" s="12"/>
      <c r="K3141" s="12"/>
      <c r="L3141" s="12"/>
      <c r="M3141" s="11"/>
      <c r="N3141" s="11"/>
      <c r="O3141" s="11"/>
      <c r="P3141" s="11"/>
    </row>
    <row r="3142" spans="8:16" x14ac:dyDescent="0.25">
      <c r="H3142" s="12"/>
      <c r="I3142" s="12"/>
      <c r="J3142" s="12"/>
      <c r="K3142" s="12"/>
      <c r="L3142" s="12"/>
      <c r="M3142" s="11"/>
      <c r="N3142" s="11"/>
      <c r="O3142" s="11"/>
      <c r="P3142" s="11"/>
    </row>
    <row r="3143" spans="8:16" x14ac:dyDescent="0.25">
      <c r="H3143" s="12"/>
      <c r="I3143" s="12"/>
      <c r="J3143" s="12"/>
      <c r="K3143" s="12"/>
      <c r="L3143" s="12"/>
      <c r="M3143" s="11"/>
      <c r="N3143" s="11"/>
      <c r="O3143" s="11"/>
      <c r="P3143" s="11"/>
    </row>
    <row r="3144" spans="8:16" x14ac:dyDescent="0.25">
      <c r="H3144" s="12"/>
      <c r="I3144" s="12"/>
      <c r="J3144" s="12"/>
      <c r="K3144" s="12"/>
      <c r="L3144" s="12"/>
      <c r="M3144" s="11"/>
      <c r="N3144" s="11"/>
      <c r="O3144" s="11"/>
      <c r="P3144" s="11"/>
    </row>
    <row r="3145" spans="8:16" x14ac:dyDescent="0.25">
      <c r="H3145" s="12"/>
      <c r="I3145" s="12"/>
      <c r="J3145" s="12"/>
      <c r="K3145" s="12"/>
      <c r="L3145" s="12"/>
      <c r="M3145" s="11"/>
      <c r="N3145" s="11"/>
      <c r="O3145" s="11"/>
      <c r="P3145" s="11"/>
    </row>
    <row r="3146" spans="8:16" x14ac:dyDescent="0.25">
      <c r="H3146" s="12"/>
      <c r="I3146" s="12"/>
      <c r="J3146" s="12"/>
      <c r="K3146" s="12"/>
      <c r="L3146" s="12"/>
      <c r="M3146" s="11"/>
      <c r="N3146" s="11"/>
      <c r="O3146" s="11"/>
      <c r="P3146" s="11"/>
    </row>
    <row r="3147" spans="8:16" x14ac:dyDescent="0.25">
      <c r="H3147" s="12"/>
      <c r="I3147" s="12"/>
      <c r="J3147" s="12"/>
      <c r="K3147" s="12"/>
      <c r="L3147" s="12"/>
      <c r="M3147" s="11"/>
      <c r="N3147" s="11"/>
      <c r="O3147" s="11"/>
      <c r="P3147" s="11"/>
    </row>
    <row r="3148" spans="8:16" x14ac:dyDescent="0.25">
      <c r="H3148" s="12"/>
      <c r="I3148" s="12"/>
      <c r="J3148" s="12"/>
      <c r="K3148" s="12"/>
      <c r="L3148" s="12"/>
      <c r="M3148" s="11"/>
      <c r="N3148" s="11"/>
      <c r="O3148" s="11"/>
      <c r="P3148" s="11"/>
    </row>
    <row r="3149" spans="8:16" x14ac:dyDescent="0.25">
      <c r="H3149" s="12"/>
      <c r="I3149" s="12"/>
      <c r="J3149" s="12"/>
      <c r="K3149" s="12"/>
      <c r="L3149" s="12"/>
      <c r="M3149" s="11"/>
      <c r="N3149" s="11"/>
      <c r="O3149" s="11"/>
      <c r="P3149" s="11"/>
    </row>
    <row r="3150" spans="8:16" x14ac:dyDescent="0.25">
      <c r="H3150" s="12"/>
      <c r="I3150" s="12"/>
      <c r="J3150" s="12"/>
      <c r="K3150" s="12"/>
      <c r="L3150" s="12"/>
      <c r="M3150" s="11"/>
      <c r="N3150" s="11"/>
      <c r="O3150" s="11"/>
      <c r="P3150" s="11"/>
    </row>
    <row r="3151" spans="8:16" x14ac:dyDescent="0.25">
      <c r="H3151" s="12"/>
      <c r="I3151" s="12"/>
      <c r="J3151" s="12"/>
      <c r="K3151" s="12"/>
      <c r="L3151" s="12"/>
      <c r="M3151" s="11"/>
      <c r="N3151" s="11"/>
      <c r="O3151" s="11"/>
      <c r="P3151" s="11"/>
    </row>
    <row r="3152" spans="8:16" x14ac:dyDescent="0.25">
      <c r="H3152" s="12"/>
      <c r="I3152" s="12"/>
      <c r="J3152" s="12"/>
      <c r="K3152" s="12"/>
      <c r="L3152" s="12"/>
      <c r="M3152" s="11"/>
      <c r="N3152" s="11"/>
      <c r="O3152" s="11"/>
      <c r="P3152" s="11"/>
    </row>
    <row r="3153" spans="8:16" x14ac:dyDescent="0.25">
      <c r="H3153" s="12"/>
      <c r="I3153" s="12"/>
      <c r="J3153" s="12"/>
      <c r="K3153" s="12"/>
      <c r="L3153" s="12"/>
      <c r="M3153" s="11"/>
      <c r="N3153" s="11"/>
      <c r="O3153" s="11"/>
      <c r="P3153" s="11"/>
    </row>
    <row r="3154" spans="8:16" x14ac:dyDescent="0.25">
      <c r="H3154" s="12"/>
      <c r="I3154" s="12"/>
      <c r="J3154" s="12"/>
      <c r="K3154" s="12"/>
      <c r="L3154" s="12"/>
      <c r="M3154" s="11"/>
      <c r="N3154" s="11"/>
      <c r="O3154" s="11"/>
      <c r="P3154" s="11"/>
    </row>
    <row r="3155" spans="8:16" x14ac:dyDescent="0.25">
      <c r="H3155" s="12"/>
      <c r="I3155" s="12"/>
      <c r="J3155" s="12"/>
      <c r="K3155" s="12"/>
      <c r="L3155" s="12"/>
      <c r="M3155" s="11"/>
      <c r="N3155" s="11"/>
      <c r="O3155" s="11"/>
      <c r="P3155" s="11"/>
    </row>
    <row r="3156" spans="8:16" x14ac:dyDescent="0.25">
      <c r="H3156" s="12"/>
      <c r="I3156" s="12"/>
      <c r="J3156" s="12"/>
      <c r="K3156" s="12"/>
      <c r="L3156" s="12"/>
      <c r="M3156" s="11"/>
      <c r="N3156" s="11"/>
      <c r="O3156" s="11"/>
      <c r="P3156" s="11"/>
    </row>
    <row r="3157" spans="8:16" x14ac:dyDescent="0.25">
      <c r="H3157" s="12"/>
      <c r="I3157" s="12"/>
      <c r="J3157" s="12"/>
      <c r="K3157" s="12"/>
      <c r="L3157" s="12"/>
      <c r="M3157" s="11"/>
      <c r="N3157" s="11"/>
      <c r="O3157" s="11"/>
      <c r="P3157" s="11"/>
    </row>
    <row r="3158" spans="8:16" x14ac:dyDescent="0.25">
      <c r="H3158" s="12"/>
      <c r="I3158" s="12"/>
      <c r="J3158" s="12"/>
      <c r="K3158" s="12"/>
      <c r="L3158" s="12"/>
      <c r="M3158" s="11"/>
      <c r="N3158" s="11"/>
      <c r="O3158" s="11"/>
      <c r="P3158" s="11"/>
    </row>
    <row r="3159" spans="8:16" x14ac:dyDescent="0.25">
      <c r="H3159" s="12"/>
      <c r="I3159" s="12"/>
      <c r="J3159" s="12"/>
      <c r="K3159" s="12"/>
      <c r="L3159" s="12"/>
      <c r="M3159" s="11"/>
      <c r="N3159" s="11"/>
      <c r="O3159" s="11"/>
      <c r="P3159" s="11"/>
    </row>
    <row r="3160" spans="8:16" x14ac:dyDescent="0.25">
      <c r="H3160" s="12"/>
      <c r="I3160" s="12"/>
      <c r="J3160" s="12"/>
      <c r="K3160" s="12"/>
      <c r="L3160" s="12"/>
      <c r="M3160" s="11"/>
      <c r="N3160" s="11"/>
      <c r="O3160" s="11"/>
      <c r="P3160" s="11"/>
    </row>
    <row r="3161" spans="8:16" x14ac:dyDescent="0.25">
      <c r="H3161" s="12"/>
      <c r="I3161" s="12"/>
      <c r="J3161" s="12"/>
      <c r="K3161" s="12"/>
      <c r="L3161" s="12"/>
      <c r="M3161" s="11"/>
      <c r="N3161" s="11"/>
      <c r="O3161" s="11"/>
      <c r="P3161" s="11"/>
    </row>
    <row r="3162" spans="8:16" x14ac:dyDescent="0.25">
      <c r="H3162" s="12"/>
      <c r="I3162" s="12"/>
      <c r="J3162" s="12"/>
      <c r="K3162" s="12"/>
      <c r="L3162" s="12"/>
      <c r="M3162" s="11"/>
      <c r="N3162" s="11"/>
      <c r="O3162" s="11"/>
      <c r="P3162" s="11"/>
    </row>
    <row r="3163" spans="8:16" x14ac:dyDescent="0.25">
      <c r="H3163" s="12"/>
      <c r="I3163" s="12"/>
      <c r="J3163" s="12"/>
      <c r="K3163" s="12"/>
      <c r="L3163" s="12"/>
      <c r="M3163" s="11"/>
      <c r="N3163" s="11"/>
      <c r="O3163" s="11"/>
      <c r="P3163" s="11"/>
    </row>
    <row r="3164" spans="8:16" x14ac:dyDescent="0.25">
      <c r="H3164" s="12"/>
      <c r="I3164" s="12"/>
      <c r="J3164" s="12"/>
      <c r="K3164" s="12"/>
      <c r="L3164" s="12"/>
      <c r="M3164" s="11"/>
      <c r="N3164" s="11"/>
      <c r="O3164" s="11"/>
      <c r="P3164" s="11"/>
    </row>
    <row r="3165" spans="8:16" x14ac:dyDescent="0.25">
      <c r="H3165" s="12"/>
      <c r="I3165" s="12"/>
      <c r="J3165" s="12"/>
      <c r="K3165" s="12"/>
      <c r="L3165" s="12"/>
      <c r="M3165" s="11"/>
      <c r="N3165" s="11"/>
      <c r="O3165" s="11"/>
      <c r="P3165" s="11"/>
    </row>
    <row r="3166" spans="8:16" x14ac:dyDescent="0.25">
      <c r="H3166" s="12"/>
      <c r="I3166" s="12"/>
      <c r="J3166" s="12"/>
      <c r="K3166" s="12"/>
      <c r="L3166" s="12"/>
      <c r="M3166" s="11"/>
      <c r="N3166" s="11"/>
      <c r="O3166" s="11"/>
      <c r="P3166" s="11"/>
    </row>
    <row r="3167" spans="8:16" x14ac:dyDescent="0.25">
      <c r="H3167" s="12"/>
      <c r="I3167" s="12"/>
      <c r="J3167" s="12"/>
      <c r="K3167" s="12"/>
      <c r="L3167" s="12"/>
      <c r="M3167" s="11"/>
      <c r="N3167" s="11"/>
      <c r="O3167" s="11"/>
      <c r="P3167" s="11"/>
    </row>
    <row r="3168" spans="8:16" x14ac:dyDescent="0.25">
      <c r="H3168" s="12"/>
      <c r="I3168" s="12"/>
      <c r="J3168" s="12"/>
      <c r="K3168" s="12"/>
      <c r="L3168" s="12"/>
      <c r="M3168" s="11"/>
      <c r="N3168" s="11"/>
      <c r="O3168" s="11"/>
      <c r="P3168" s="11"/>
    </row>
    <row r="3169" spans="8:16" x14ac:dyDescent="0.25">
      <c r="H3169" s="12"/>
      <c r="I3169" s="12"/>
      <c r="J3169" s="12"/>
      <c r="K3169" s="12"/>
      <c r="L3169" s="12"/>
      <c r="M3169" s="11"/>
      <c r="N3169" s="11"/>
      <c r="O3169" s="11"/>
      <c r="P3169" s="11"/>
    </row>
    <row r="3170" spans="8:16" x14ac:dyDescent="0.25">
      <c r="H3170" s="12"/>
      <c r="I3170" s="12"/>
      <c r="J3170" s="12"/>
      <c r="K3170" s="12"/>
      <c r="L3170" s="12"/>
      <c r="M3170" s="11"/>
      <c r="N3170" s="11"/>
      <c r="O3170" s="11"/>
      <c r="P3170" s="11"/>
    </row>
    <row r="3171" spans="8:16" x14ac:dyDescent="0.25">
      <c r="H3171" s="12"/>
      <c r="I3171" s="12"/>
      <c r="J3171" s="12"/>
      <c r="K3171" s="12"/>
      <c r="L3171" s="12"/>
      <c r="M3171" s="11"/>
      <c r="N3171" s="11"/>
      <c r="O3171" s="11"/>
      <c r="P3171" s="11"/>
    </row>
    <row r="3172" spans="8:16" x14ac:dyDescent="0.25">
      <c r="H3172" s="12"/>
      <c r="I3172" s="12"/>
      <c r="J3172" s="12"/>
      <c r="K3172" s="12"/>
      <c r="L3172" s="12"/>
      <c r="M3172" s="11"/>
      <c r="N3172" s="11"/>
      <c r="O3172" s="11"/>
      <c r="P3172" s="11"/>
    </row>
    <row r="3173" spans="8:16" x14ac:dyDescent="0.25">
      <c r="H3173" s="12"/>
      <c r="I3173" s="12"/>
      <c r="J3173" s="12"/>
      <c r="K3173" s="12"/>
      <c r="L3173" s="12"/>
      <c r="M3173" s="11"/>
      <c r="N3173" s="11"/>
      <c r="O3173" s="11"/>
      <c r="P3173" s="11"/>
    </row>
    <row r="3174" spans="8:16" x14ac:dyDescent="0.25">
      <c r="H3174" s="12"/>
      <c r="I3174" s="12"/>
      <c r="J3174" s="12"/>
      <c r="K3174" s="12"/>
      <c r="L3174" s="12"/>
      <c r="M3174" s="11"/>
      <c r="N3174" s="11"/>
      <c r="O3174" s="11"/>
      <c r="P3174" s="11"/>
    </row>
    <row r="3175" spans="8:16" x14ac:dyDescent="0.25">
      <c r="H3175" s="12"/>
      <c r="I3175" s="12"/>
      <c r="J3175" s="12"/>
      <c r="K3175" s="12"/>
      <c r="L3175" s="12"/>
      <c r="M3175" s="11"/>
      <c r="N3175" s="11"/>
      <c r="O3175" s="11"/>
      <c r="P3175" s="11"/>
    </row>
    <row r="3176" spans="8:16" x14ac:dyDescent="0.25">
      <c r="H3176" s="12"/>
      <c r="I3176" s="12"/>
      <c r="J3176" s="12"/>
      <c r="K3176" s="12"/>
      <c r="L3176" s="12"/>
      <c r="M3176" s="11"/>
      <c r="N3176" s="11"/>
      <c r="O3176" s="11"/>
      <c r="P3176" s="11"/>
    </row>
    <row r="3177" spans="8:16" x14ac:dyDescent="0.25">
      <c r="H3177" s="12"/>
      <c r="I3177" s="12"/>
      <c r="J3177" s="12"/>
      <c r="K3177" s="12"/>
      <c r="L3177" s="12"/>
      <c r="M3177" s="11"/>
      <c r="N3177" s="11"/>
      <c r="O3177" s="11"/>
      <c r="P3177" s="11"/>
    </row>
    <row r="3178" spans="8:16" x14ac:dyDescent="0.25">
      <c r="H3178" s="12"/>
      <c r="I3178" s="12"/>
      <c r="J3178" s="12"/>
      <c r="K3178" s="12"/>
      <c r="L3178" s="12"/>
      <c r="M3178" s="11"/>
      <c r="N3178" s="11"/>
      <c r="O3178" s="11"/>
      <c r="P3178" s="11"/>
    </row>
    <row r="3179" spans="8:16" x14ac:dyDescent="0.25">
      <c r="H3179" s="12"/>
      <c r="I3179" s="12"/>
      <c r="J3179" s="12"/>
      <c r="K3179" s="12"/>
      <c r="L3179" s="12"/>
      <c r="M3179" s="11"/>
      <c r="N3179" s="11"/>
      <c r="O3179" s="11"/>
      <c r="P3179" s="11"/>
    </row>
    <row r="3180" spans="8:16" x14ac:dyDescent="0.25">
      <c r="H3180" s="12"/>
      <c r="I3180" s="12"/>
      <c r="J3180" s="12"/>
      <c r="K3180" s="12"/>
      <c r="L3180" s="12"/>
      <c r="M3180" s="11"/>
      <c r="N3180" s="11"/>
      <c r="O3180" s="11"/>
      <c r="P3180" s="11"/>
    </row>
    <row r="3181" spans="8:16" x14ac:dyDescent="0.25">
      <c r="H3181" s="12"/>
      <c r="I3181" s="12"/>
      <c r="J3181" s="12"/>
      <c r="K3181" s="12"/>
      <c r="L3181" s="12"/>
      <c r="M3181" s="11"/>
      <c r="N3181" s="11"/>
      <c r="O3181" s="11"/>
      <c r="P3181" s="11"/>
    </row>
    <row r="3182" spans="8:16" x14ac:dyDescent="0.25">
      <c r="H3182" s="12"/>
      <c r="I3182" s="12"/>
      <c r="J3182" s="12"/>
      <c r="K3182" s="12"/>
      <c r="L3182" s="12"/>
      <c r="M3182" s="11"/>
      <c r="N3182" s="11"/>
      <c r="O3182" s="11"/>
      <c r="P3182" s="11"/>
    </row>
    <row r="3183" spans="8:16" x14ac:dyDescent="0.25">
      <c r="H3183" s="12"/>
      <c r="I3183" s="12"/>
      <c r="J3183" s="12"/>
      <c r="K3183" s="12"/>
      <c r="L3183" s="12"/>
      <c r="M3183" s="11"/>
      <c r="N3183" s="11"/>
      <c r="O3183" s="11"/>
      <c r="P3183" s="11"/>
    </row>
    <row r="3184" spans="8:16" x14ac:dyDescent="0.25">
      <c r="H3184" s="12"/>
      <c r="I3184" s="12"/>
      <c r="J3184" s="12"/>
      <c r="K3184" s="12"/>
      <c r="L3184" s="12"/>
      <c r="M3184" s="11"/>
      <c r="N3184" s="11"/>
      <c r="O3184" s="11"/>
      <c r="P3184" s="11"/>
    </row>
    <row r="3185" spans="8:16" x14ac:dyDescent="0.25">
      <c r="H3185" s="12"/>
      <c r="I3185" s="12"/>
      <c r="J3185" s="12"/>
      <c r="K3185" s="12"/>
      <c r="L3185" s="12"/>
      <c r="M3185" s="11"/>
      <c r="N3185" s="11"/>
      <c r="O3185" s="11"/>
      <c r="P3185" s="11"/>
    </row>
    <row r="3186" spans="8:16" x14ac:dyDescent="0.25">
      <c r="H3186" s="12"/>
      <c r="I3186" s="12"/>
      <c r="J3186" s="12"/>
      <c r="K3186" s="12"/>
      <c r="L3186" s="12"/>
      <c r="M3186" s="11"/>
      <c r="N3186" s="11"/>
      <c r="O3186" s="11"/>
      <c r="P3186" s="11"/>
    </row>
    <row r="3187" spans="8:16" x14ac:dyDescent="0.25">
      <c r="H3187" s="12"/>
      <c r="I3187" s="12"/>
      <c r="J3187" s="12"/>
      <c r="K3187" s="12"/>
      <c r="L3187" s="12"/>
      <c r="M3187" s="11"/>
      <c r="N3187" s="11"/>
      <c r="O3187" s="11"/>
      <c r="P3187" s="11"/>
    </row>
    <row r="3188" spans="8:16" x14ac:dyDescent="0.25">
      <c r="H3188" s="12"/>
      <c r="I3188" s="12"/>
      <c r="J3188" s="12"/>
      <c r="K3188" s="12"/>
      <c r="L3188" s="12"/>
      <c r="M3188" s="11"/>
      <c r="N3188" s="11"/>
      <c r="O3188" s="11"/>
      <c r="P3188" s="11"/>
    </row>
    <row r="3189" spans="8:16" x14ac:dyDescent="0.25">
      <c r="H3189" s="12"/>
      <c r="I3189" s="12"/>
      <c r="J3189" s="12"/>
      <c r="K3189" s="12"/>
      <c r="L3189" s="12"/>
      <c r="M3189" s="11"/>
      <c r="N3189" s="11"/>
      <c r="O3189" s="11"/>
      <c r="P3189" s="11"/>
    </row>
    <row r="3190" spans="8:16" x14ac:dyDescent="0.25">
      <c r="H3190" s="12"/>
      <c r="I3190" s="12"/>
      <c r="J3190" s="12"/>
      <c r="K3190" s="12"/>
      <c r="L3190" s="12"/>
      <c r="M3190" s="11"/>
      <c r="N3190" s="11"/>
      <c r="O3190" s="11"/>
      <c r="P3190" s="11"/>
    </row>
    <row r="3191" spans="8:16" x14ac:dyDescent="0.25">
      <c r="H3191" s="12"/>
      <c r="I3191" s="12"/>
      <c r="J3191" s="12"/>
      <c r="K3191" s="12"/>
      <c r="L3191" s="12"/>
      <c r="M3191" s="11"/>
      <c r="N3191" s="11"/>
      <c r="O3191" s="11"/>
      <c r="P3191" s="11"/>
    </row>
    <row r="3192" spans="8:16" x14ac:dyDescent="0.25">
      <c r="H3192" s="12"/>
      <c r="I3192" s="12"/>
      <c r="J3192" s="12"/>
      <c r="K3192" s="12"/>
      <c r="L3192" s="12"/>
      <c r="M3192" s="11"/>
      <c r="N3192" s="11"/>
      <c r="O3192" s="11"/>
      <c r="P3192" s="11"/>
    </row>
    <row r="3193" spans="8:16" x14ac:dyDescent="0.25">
      <c r="H3193" s="12"/>
      <c r="I3193" s="12"/>
      <c r="J3193" s="12"/>
      <c r="K3193" s="12"/>
      <c r="L3193" s="12"/>
      <c r="M3193" s="11"/>
      <c r="N3193" s="11"/>
      <c r="O3193" s="11"/>
      <c r="P3193" s="11"/>
    </row>
    <row r="3194" spans="8:16" x14ac:dyDescent="0.25">
      <c r="H3194" s="12"/>
      <c r="I3194" s="12"/>
      <c r="J3194" s="12"/>
      <c r="K3194" s="12"/>
      <c r="L3194" s="12"/>
      <c r="M3194" s="11"/>
      <c r="N3194" s="11"/>
      <c r="O3194" s="11"/>
      <c r="P3194" s="11"/>
    </row>
    <row r="3195" spans="8:16" x14ac:dyDescent="0.25">
      <c r="H3195" s="12"/>
      <c r="I3195" s="12"/>
      <c r="J3195" s="12"/>
      <c r="K3195" s="12"/>
      <c r="L3195" s="12"/>
      <c r="M3195" s="11"/>
      <c r="N3195" s="11"/>
      <c r="O3195" s="11"/>
      <c r="P3195" s="11"/>
    </row>
    <row r="3196" spans="8:16" x14ac:dyDescent="0.25">
      <c r="H3196" s="12"/>
      <c r="I3196" s="12"/>
      <c r="J3196" s="12"/>
      <c r="K3196" s="12"/>
      <c r="L3196" s="12"/>
      <c r="M3196" s="11"/>
      <c r="N3196" s="11"/>
      <c r="O3196" s="11"/>
      <c r="P3196" s="11"/>
    </row>
    <row r="3197" spans="8:16" x14ac:dyDescent="0.25">
      <c r="H3197" s="12"/>
      <c r="I3197" s="12"/>
      <c r="J3197" s="12"/>
      <c r="K3197" s="12"/>
      <c r="L3197" s="12"/>
      <c r="M3197" s="11"/>
      <c r="N3197" s="11"/>
      <c r="O3197" s="11"/>
      <c r="P3197" s="11"/>
    </row>
    <row r="3198" spans="8:16" x14ac:dyDescent="0.25">
      <c r="H3198" s="12"/>
      <c r="I3198" s="12"/>
      <c r="J3198" s="12"/>
      <c r="K3198" s="12"/>
      <c r="L3198" s="12"/>
      <c r="M3198" s="11"/>
      <c r="N3198" s="11"/>
      <c r="O3198" s="11"/>
      <c r="P3198" s="11"/>
    </row>
    <row r="3199" spans="8:16" x14ac:dyDescent="0.25">
      <c r="H3199" s="12"/>
      <c r="I3199" s="12"/>
      <c r="J3199" s="12"/>
      <c r="K3199" s="12"/>
      <c r="L3199" s="12"/>
      <c r="M3199" s="11"/>
      <c r="N3199" s="11"/>
      <c r="O3199" s="11"/>
      <c r="P3199" s="11"/>
    </row>
    <row r="3200" spans="8:16" x14ac:dyDescent="0.25">
      <c r="H3200" s="12"/>
      <c r="I3200" s="12"/>
      <c r="J3200" s="12"/>
      <c r="K3200" s="12"/>
      <c r="L3200" s="12"/>
      <c r="M3200" s="11"/>
      <c r="N3200" s="11"/>
      <c r="O3200" s="11"/>
      <c r="P3200" s="11"/>
    </row>
    <row r="3201" spans="8:16" x14ac:dyDescent="0.25">
      <c r="H3201" s="12"/>
      <c r="I3201" s="12"/>
      <c r="J3201" s="12"/>
      <c r="K3201" s="12"/>
      <c r="L3201" s="12"/>
      <c r="M3201" s="11"/>
      <c r="N3201" s="11"/>
      <c r="O3201" s="11"/>
      <c r="P3201" s="11"/>
    </row>
    <row r="3202" spans="8:16" x14ac:dyDescent="0.25">
      <c r="H3202" s="12"/>
      <c r="I3202" s="12"/>
      <c r="J3202" s="12"/>
      <c r="K3202" s="12"/>
      <c r="L3202" s="12"/>
      <c r="M3202" s="11"/>
      <c r="N3202" s="11"/>
      <c r="O3202" s="11"/>
      <c r="P3202" s="11"/>
    </row>
    <row r="3203" spans="8:16" x14ac:dyDescent="0.25">
      <c r="H3203" s="12"/>
      <c r="I3203" s="12"/>
      <c r="J3203" s="12"/>
      <c r="K3203" s="12"/>
      <c r="L3203" s="12"/>
      <c r="M3203" s="11"/>
      <c r="N3203" s="11"/>
      <c r="O3203" s="11"/>
      <c r="P3203" s="11"/>
    </row>
    <row r="3204" spans="8:16" x14ac:dyDescent="0.25">
      <c r="H3204" s="12"/>
      <c r="I3204" s="12"/>
      <c r="J3204" s="12"/>
      <c r="K3204" s="12"/>
      <c r="L3204" s="12"/>
      <c r="M3204" s="11"/>
      <c r="N3204" s="11"/>
      <c r="O3204" s="11"/>
      <c r="P3204" s="11"/>
    </row>
    <row r="3205" spans="8:16" x14ac:dyDescent="0.25">
      <c r="H3205" s="12"/>
      <c r="I3205" s="12"/>
      <c r="J3205" s="12"/>
      <c r="K3205" s="12"/>
      <c r="L3205" s="12"/>
      <c r="M3205" s="11"/>
      <c r="N3205" s="11"/>
      <c r="O3205" s="11"/>
      <c r="P3205" s="11"/>
    </row>
    <row r="3206" spans="8:16" x14ac:dyDescent="0.25">
      <c r="H3206" s="12"/>
      <c r="I3206" s="12"/>
      <c r="J3206" s="12"/>
      <c r="K3206" s="12"/>
      <c r="L3206" s="12"/>
      <c r="M3206" s="11"/>
      <c r="N3206" s="11"/>
      <c r="O3206" s="11"/>
      <c r="P3206" s="11"/>
    </row>
    <row r="3207" spans="8:16" x14ac:dyDescent="0.25">
      <c r="H3207" s="12"/>
      <c r="I3207" s="12"/>
      <c r="J3207" s="12"/>
      <c r="K3207" s="12"/>
      <c r="L3207" s="12"/>
      <c r="M3207" s="11"/>
      <c r="N3207" s="11"/>
      <c r="O3207" s="11"/>
      <c r="P3207" s="11"/>
    </row>
    <row r="3208" spans="8:16" x14ac:dyDescent="0.25">
      <c r="H3208" s="12"/>
      <c r="I3208" s="12"/>
      <c r="J3208" s="12"/>
      <c r="K3208" s="12"/>
      <c r="L3208" s="12"/>
      <c r="M3208" s="11"/>
      <c r="N3208" s="11"/>
      <c r="O3208" s="11"/>
      <c r="P3208" s="11"/>
    </row>
    <row r="3209" spans="8:16" x14ac:dyDescent="0.25">
      <c r="H3209" s="12"/>
      <c r="I3209" s="12"/>
      <c r="J3209" s="12"/>
      <c r="K3209" s="12"/>
      <c r="L3209" s="12"/>
      <c r="M3209" s="11"/>
      <c r="N3209" s="11"/>
      <c r="O3209" s="11"/>
      <c r="P3209" s="11"/>
    </row>
    <row r="3210" spans="8:16" x14ac:dyDescent="0.25">
      <c r="H3210" s="12"/>
      <c r="I3210" s="12"/>
      <c r="J3210" s="12"/>
      <c r="K3210" s="12"/>
      <c r="L3210" s="12"/>
      <c r="M3210" s="11"/>
      <c r="N3210" s="11"/>
      <c r="O3210" s="11"/>
      <c r="P3210" s="11"/>
    </row>
    <row r="3211" spans="8:16" x14ac:dyDescent="0.25">
      <c r="H3211" s="12"/>
      <c r="I3211" s="12"/>
      <c r="J3211" s="12"/>
      <c r="K3211" s="12"/>
      <c r="L3211" s="12"/>
      <c r="M3211" s="11"/>
      <c r="N3211" s="11"/>
      <c r="O3211" s="11"/>
      <c r="P3211" s="11"/>
    </row>
    <row r="3212" spans="8:16" x14ac:dyDescent="0.25">
      <c r="H3212" s="12"/>
      <c r="I3212" s="12"/>
      <c r="J3212" s="12"/>
      <c r="K3212" s="12"/>
      <c r="L3212" s="12"/>
      <c r="M3212" s="11"/>
      <c r="N3212" s="11"/>
      <c r="O3212" s="11"/>
      <c r="P3212" s="11"/>
    </row>
    <row r="3213" spans="8:16" x14ac:dyDescent="0.25">
      <c r="H3213" s="12"/>
      <c r="I3213" s="12"/>
      <c r="J3213" s="12"/>
      <c r="K3213" s="12"/>
      <c r="L3213" s="12"/>
      <c r="M3213" s="11"/>
      <c r="N3213" s="11"/>
      <c r="O3213" s="11"/>
      <c r="P3213" s="11"/>
    </row>
    <row r="3214" spans="8:16" x14ac:dyDescent="0.25">
      <c r="H3214" s="12"/>
      <c r="I3214" s="12"/>
      <c r="J3214" s="12"/>
      <c r="K3214" s="12"/>
      <c r="L3214" s="12"/>
      <c r="M3214" s="11"/>
      <c r="N3214" s="11"/>
      <c r="O3214" s="11"/>
      <c r="P3214" s="11"/>
    </row>
    <row r="3215" spans="8:16" x14ac:dyDescent="0.25">
      <c r="H3215" s="12"/>
      <c r="I3215" s="12"/>
      <c r="J3215" s="12"/>
      <c r="K3215" s="12"/>
      <c r="L3215" s="12"/>
      <c r="M3215" s="11"/>
      <c r="N3215" s="11"/>
      <c r="O3215" s="11"/>
      <c r="P3215" s="11"/>
    </row>
    <row r="3216" spans="8:16" x14ac:dyDescent="0.25">
      <c r="H3216" s="12"/>
      <c r="I3216" s="12"/>
      <c r="J3216" s="12"/>
      <c r="K3216" s="12"/>
      <c r="L3216" s="12"/>
      <c r="M3216" s="11"/>
      <c r="N3216" s="11"/>
      <c r="O3216" s="11"/>
      <c r="P3216" s="11"/>
    </row>
    <row r="3217" spans="8:16" x14ac:dyDescent="0.25">
      <c r="H3217" s="12"/>
      <c r="I3217" s="12"/>
      <c r="J3217" s="12"/>
      <c r="K3217" s="12"/>
      <c r="L3217" s="12"/>
      <c r="M3217" s="11"/>
      <c r="N3217" s="11"/>
      <c r="O3217" s="11"/>
      <c r="P3217" s="11"/>
    </row>
    <row r="3218" spans="8:16" x14ac:dyDescent="0.25">
      <c r="H3218" s="12"/>
      <c r="I3218" s="12"/>
      <c r="J3218" s="12"/>
      <c r="K3218" s="12"/>
      <c r="L3218" s="12"/>
      <c r="M3218" s="11"/>
      <c r="N3218" s="11"/>
      <c r="O3218" s="11"/>
      <c r="P3218" s="11"/>
    </row>
    <row r="3219" spans="8:16" x14ac:dyDescent="0.25">
      <c r="H3219" s="12"/>
      <c r="I3219" s="12"/>
      <c r="J3219" s="12"/>
      <c r="K3219" s="12"/>
      <c r="L3219" s="12"/>
      <c r="M3219" s="11"/>
      <c r="N3219" s="11"/>
      <c r="O3219" s="11"/>
      <c r="P3219" s="11"/>
    </row>
    <row r="3220" spans="8:16" x14ac:dyDescent="0.25">
      <c r="H3220" s="12"/>
      <c r="I3220" s="12"/>
      <c r="J3220" s="12"/>
      <c r="K3220" s="12"/>
      <c r="L3220" s="12"/>
      <c r="M3220" s="11"/>
      <c r="N3220" s="11"/>
      <c r="O3220" s="11"/>
      <c r="P3220" s="11"/>
    </row>
    <row r="3221" spans="8:16" x14ac:dyDescent="0.25">
      <c r="H3221" s="12"/>
      <c r="I3221" s="12"/>
      <c r="J3221" s="12"/>
      <c r="K3221" s="12"/>
      <c r="L3221" s="12"/>
      <c r="M3221" s="11"/>
      <c r="N3221" s="11"/>
      <c r="O3221" s="11"/>
      <c r="P3221" s="11"/>
    </row>
    <row r="3222" spans="8:16" x14ac:dyDescent="0.25">
      <c r="H3222" s="12"/>
      <c r="I3222" s="12"/>
      <c r="J3222" s="12"/>
      <c r="K3222" s="12"/>
      <c r="L3222" s="12"/>
      <c r="M3222" s="11"/>
      <c r="N3222" s="11"/>
      <c r="O3222" s="11"/>
      <c r="P3222" s="11"/>
    </row>
    <row r="3223" spans="8:16" x14ac:dyDescent="0.25">
      <c r="H3223" s="12"/>
      <c r="I3223" s="12"/>
      <c r="J3223" s="12"/>
      <c r="K3223" s="12"/>
      <c r="L3223" s="12"/>
      <c r="M3223" s="11"/>
      <c r="N3223" s="11"/>
      <c r="O3223" s="11"/>
      <c r="P3223" s="11"/>
    </row>
    <row r="3224" spans="8:16" x14ac:dyDescent="0.25">
      <c r="H3224" s="12"/>
      <c r="I3224" s="12"/>
      <c r="J3224" s="12"/>
      <c r="K3224" s="12"/>
      <c r="L3224" s="12"/>
      <c r="M3224" s="11"/>
      <c r="N3224" s="11"/>
      <c r="O3224" s="11"/>
      <c r="P3224" s="11"/>
    </row>
    <row r="3225" spans="8:16" x14ac:dyDescent="0.25">
      <c r="H3225" s="12"/>
      <c r="I3225" s="12"/>
      <c r="J3225" s="12"/>
      <c r="K3225" s="12"/>
      <c r="L3225" s="12"/>
      <c r="M3225" s="11"/>
      <c r="N3225" s="11"/>
      <c r="O3225" s="11"/>
      <c r="P3225" s="11"/>
    </row>
    <row r="3226" spans="8:16" x14ac:dyDescent="0.25">
      <c r="H3226" s="12"/>
      <c r="I3226" s="12"/>
      <c r="J3226" s="12"/>
      <c r="K3226" s="12"/>
      <c r="L3226" s="12"/>
      <c r="M3226" s="11"/>
      <c r="N3226" s="11"/>
      <c r="O3226" s="11"/>
      <c r="P3226" s="11"/>
    </row>
    <row r="3227" spans="8:16" x14ac:dyDescent="0.25">
      <c r="H3227" s="12"/>
      <c r="I3227" s="12"/>
      <c r="J3227" s="12"/>
      <c r="K3227" s="12"/>
      <c r="L3227" s="12"/>
      <c r="M3227" s="11"/>
      <c r="N3227" s="11"/>
      <c r="O3227" s="11"/>
      <c r="P3227" s="11"/>
    </row>
    <row r="3228" spans="8:16" x14ac:dyDescent="0.25">
      <c r="H3228" s="12"/>
      <c r="I3228" s="12"/>
      <c r="J3228" s="12"/>
      <c r="K3228" s="12"/>
      <c r="L3228" s="12"/>
      <c r="M3228" s="11"/>
      <c r="N3228" s="11"/>
      <c r="O3228" s="11"/>
      <c r="P3228" s="11"/>
    </row>
    <row r="3229" spans="8:16" x14ac:dyDescent="0.25">
      <c r="H3229" s="12"/>
      <c r="I3229" s="12"/>
      <c r="J3229" s="12"/>
      <c r="K3229" s="12"/>
      <c r="L3229" s="12"/>
      <c r="M3229" s="11"/>
      <c r="N3229" s="11"/>
      <c r="O3229" s="11"/>
      <c r="P3229" s="11"/>
    </row>
    <row r="3230" spans="8:16" x14ac:dyDescent="0.25">
      <c r="H3230" s="12"/>
      <c r="I3230" s="12"/>
      <c r="J3230" s="12"/>
      <c r="K3230" s="12"/>
      <c r="L3230" s="12"/>
      <c r="M3230" s="11"/>
      <c r="N3230" s="11"/>
      <c r="O3230" s="11"/>
      <c r="P3230" s="11"/>
    </row>
    <row r="3231" spans="8:16" x14ac:dyDescent="0.25">
      <c r="H3231" s="12"/>
      <c r="I3231" s="12"/>
      <c r="J3231" s="12"/>
      <c r="K3231" s="12"/>
      <c r="L3231" s="12"/>
      <c r="M3231" s="11"/>
      <c r="N3231" s="11"/>
      <c r="O3231" s="11"/>
      <c r="P3231" s="11"/>
    </row>
    <row r="3232" spans="8:16" x14ac:dyDescent="0.25">
      <c r="H3232" s="12"/>
      <c r="I3232" s="12"/>
      <c r="J3232" s="12"/>
      <c r="K3232" s="12"/>
      <c r="L3232" s="12"/>
      <c r="M3232" s="11"/>
      <c r="N3232" s="11"/>
      <c r="O3232" s="11"/>
      <c r="P3232" s="11"/>
    </row>
    <row r="3233" spans="8:16" x14ac:dyDescent="0.25">
      <c r="H3233" s="12"/>
      <c r="I3233" s="12"/>
      <c r="J3233" s="12"/>
      <c r="K3233" s="12"/>
      <c r="L3233" s="12"/>
      <c r="M3233" s="11"/>
      <c r="N3233" s="11"/>
      <c r="O3233" s="11"/>
      <c r="P3233" s="11"/>
    </row>
    <row r="3234" spans="8:16" x14ac:dyDescent="0.25">
      <c r="H3234" s="12"/>
      <c r="I3234" s="12"/>
      <c r="J3234" s="12"/>
      <c r="K3234" s="12"/>
      <c r="L3234" s="12"/>
      <c r="M3234" s="11"/>
      <c r="N3234" s="11"/>
      <c r="O3234" s="11"/>
      <c r="P3234" s="11"/>
    </row>
    <row r="3235" spans="8:16" x14ac:dyDescent="0.25">
      <c r="H3235" s="12"/>
      <c r="I3235" s="12"/>
      <c r="J3235" s="12"/>
      <c r="K3235" s="12"/>
      <c r="L3235" s="12"/>
      <c r="M3235" s="11"/>
      <c r="N3235" s="11"/>
      <c r="O3235" s="11"/>
      <c r="P3235" s="11"/>
    </row>
    <row r="3236" spans="8:16" x14ac:dyDescent="0.25">
      <c r="H3236" s="12"/>
      <c r="I3236" s="12"/>
      <c r="J3236" s="12"/>
      <c r="K3236" s="12"/>
      <c r="L3236" s="12"/>
      <c r="M3236" s="11"/>
      <c r="N3236" s="11"/>
      <c r="O3236" s="11"/>
      <c r="P3236" s="11"/>
    </row>
    <row r="3237" spans="8:16" x14ac:dyDescent="0.25">
      <c r="H3237" s="12"/>
      <c r="I3237" s="12"/>
      <c r="J3237" s="12"/>
      <c r="K3237" s="12"/>
      <c r="L3237" s="12"/>
      <c r="M3237" s="11"/>
      <c r="N3237" s="11"/>
      <c r="O3237" s="11"/>
      <c r="P3237" s="11"/>
    </row>
    <row r="3238" spans="8:16" x14ac:dyDescent="0.25">
      <c r="H3238" s="12"/>
      <c r="I3238" s="12"/>
      <c r="J3238" s="12"/>
      <c r="K3238" s="12"/>
      <c r="L3238" s="12"/>
      <c r="M3238" s="11"/>
      <c r="N3238" s="11"/>
      <c r="O3238" s="11"/>
      <c r="P3238" s="11"/>
    </row>
    <row r="3239" spans="8:16" x14ac:dyDescent="0.25">
      <c r="H3239" s="12"/>
      <c r="I3239" s="12"/>
      <c r="J3239" s="12"/>
      <c r="K3239" s="12"/>
      <c r="L3239" s="12"/>
      <c r="M3239" s="11"/>
      <c r="N3239" s="11"/>
      <c r="O3239" s="11"/>
      <c r="P3239" s="11"/>
    </row>
    <row r="3240" spans="8:16" x14ac:dyDescent="0.25">
      <c r="H3240" s="12"/>
      <c r="I3240" s="12"/>
      <c r="J3240" s="12"/>
      <c r="K3240" s="12"/>
      <c r="L3240" s="12"/>
      <c r="M3240" s="11"/>
      <c r="N3240" s="11"/>
      <c r="O3240" s="11"/>
      <c r="P3240" s="11"/>
    </row>
    <row r="3241" spans="8:16" x14ac:dyDescent="0.25">
      <c r="H3241" s="12"/>
      <c r="I3241" s="12"/>
      <c r="J3241" s="12"/>
      <c r="K3241" s="12"/>
      <c r="L3241" s="12"/>
      <c r="M3241" s="11"/>
      <c r="N3241" s="11"/>
      <c r="O3241" s="11"/>
      <c r="P3241" s="11"/>
    </row>
    <row r="3242" spans="8:16" x14ac:dyDescent="0.25">
      <c r="H3242" s="12"/>
      <c r="I3242" s="12"/>
      <c r="J3242" s="12"/>
      <c r="K3242" s="12"/>
      <c r="L3242" s="12"/>
      <c r="M3242" s="11"/>
      <c r="N3242" s="11"/>
      <c r="O3242" s="11"/>
      <c r="P3242" s="11"/>
    </row>
    <row r="3243" spans="8:16" x14ac:dyDescent="0.25">
      <c r="H3243" s="12"/>
      <c r="I3243" s="12"/>
      <c r="J3243" s="12"/>
      <c r="K3243" s="12"/>
      <c r="L3243" s="12"/>
      <c r="M3243" s="11"/>
      <c r="N3243" s="11"/>
      <c r="O3243" s="11"/>
      <c r="P3243" s="11"/>
    </row>
    <row r="3244" spans="8:16" x14ac:dyDescent="0.25">
      <c r="H3244" s="12"/>
      <c r="I3244" s="12"/>
      <c r="J3244" s="12"/>
      <c r="K3244" s="12"/>
      <c r="L3244" s="12"/>
      <c r="M3244" s="11"/>
      <c r="N3244" s="11"/>
      <c r="O3244" s="11"/>
      <c r="P3244" s="11"/>
    </row>
    <row r="3245" spans="8:16" x14ac:dyDescent="0.25">
      <c r="H3245" s="12"/>
      <c r="I3245" s="12"/>
      <c r="J3245" s="12"/>
      <c r="K3245" s="12"/>
      <c r="L3245" s="12"/>
      <c r="M3245" s="11"/>
      <c r="N3245" s="11"/>
      <c r="O3245" s="11"/>
      <c r="P3245" s="11"/>
    </row>
    <row r="3246" spans="8:16" x14ac:dyDescent="0.25">
      <c r="H3246" s="12"/>
      <c r="I3246" s="12"/>
      <c r="J3246" s="12"/>
      <c r="K3246" s="12"/>
      <c r="L3246" s="12"/>
      <c r="M3246" s="11"/>
      <c r="N3246" s="11"/>
      <c r="O3246" s="11"/>
      <c r="P3246" s="11"/>
    </row>
    <row r="3247" spans="8:16" x14ac:dyDescent="0.25">
      <c r="H3247" s="12"/>
      <c r="I3247" s="12"/>
      <c r="J3247" s="12"/>
      <c r="K3247" s="12"/>
      <c r="L3247" s="12"/>
      <c r="M3247" s="11"/>
      <c r="N3247" s="11"/>
      <c r="O3247" s="11"/>
      <c r="P3247" s="11"/>
    </row>
    <row r="3248" spans="8:16" x14ac:dyDescent="0.25">
      <c r="H3248" s="12"/>
      <c r="I3248" s="12"/>
      <c r="J3248" s="12"/>
      <c r="K3248" s="12"/>
      <c r="L3248" s="12"/>
      <c r="M3248" s="11"/>
      <c r="N3248" s="11"/>
      <c r="O3248" s="11"/>
      <c r="P3248" s="11"/>
    </row>
    <row r="3249" spans="8:16" x14ac:dyDescent="0.25">
      <c r="H3249" s="12"/>
      <c r="I3249" s="12"/>
      <c r="J3249" s="12"/>
      <c r="K3249" s="12"/>
      <c r="L3249" s="12"/>
      <c r="M3249" s="11"/>
      <c r="N3249" s="11"/>
      <c r="O3249" s="11"/>
      <c r="P3249" s="11"/>
    </row>
    <row r="3250" spans="8:16" x14ac:dyDescent="0.25">
      <c r="H3250" s="12"/>
      <c r="I3250" s="12"/>
      <c r="J3250" s="12"/>
      <c r="K3250" s="12"/>
      <c r="L3250" s="12"/>
      <c r="M3250" s="11"/>
      <c r="N3250" s="11"/>
      <c r="O3250" s="11"/>
      <c r="P3250" s="11"/>
    </row>
    <row r="3251" spans="8:16" x14ac:dyDescent="0.25">
      <c r="H3251" s="12"/>
      <c r="I3251" s="12"/>
      <c r="J3251" s="12"/>
      <c r="K3251" s="12"/>
      <c r="L3251" s="12"/>
      <c r="M3251" s="11"/>
      <c r="N3251" s="11"/>
      <c r="O3251" s="11"/>
      <c r="P3251" s="11"/>
    </row>
    <row r="3252" spans="8:16" x14ac:dyDescent="0.25">
      <c r="H3252" s="12"/>
      <c r="I3252" s="12"/>
      <c r="J3252" s="12"/>
      <c r="K3252" s="12"/>
      <c r="L3252" s="12"/>
      <c r="M3252" s="11"/>
      <c r="N3252" s="11"/>
      <c r="O3252" s="11"/>
      <c r="P3252" s="11"/>
    </row>
    <row r="3253" spans="8:16" x14ac:dyDescent="0.25">
      <c r="H3253" s="12"/>
      <c r="I3253" s="12"/>
      <c r="J3253" s="12"/>
      <c r="K3253" s="12"/>
      <c r="L3253" s="12"/>
      <c r="M3253" s="11"/>
      <c r="N3253" s="11"/>
      <c r="O3253" s="11"/>
      <c r="P3253" s="11"/>
    </row>
    <row r="3254" spans="8:16" x14ac:dyDescent="0.25">
      <c r="H3254" s="12"/>
      <c r="I3254" s="12"/>
      <c r="J3254" s="12"/>
      <c r="K3254" s="12"/>
      <c r="L3254" s="12"/>
      <c r="M3254" s="11"/>
      <c r="N3254" s="11"/>
      <c r="O3254" s="11"/>
      <c r="P3254" s="11"/>
    </row>
    <row r="3255" spans="8:16" x14ac:dyDescent="0.25">
      <c r="H3255" s="12"/>
      <c r="I3255" s="12"/>
      <c r="J3255" s="12"/>
      <c r="K3255" s="12"/>
      <c r="L3255" s="12"/>
      <c r="M3255" s="11"/>
      <c r="N3255" s="11"/>
      <c r="O3255" s="11"/>
      <c r="P3255" s="11"/>
    </row>
    <row r="3256" spans="8:16" x14ac:dyDescent="0.25">
      <c r="H3256" s="12"/>
      <c r="I3256" s="12"/>
      <c r="J3256" s="12"/>
      <c r="K3256" s="12"/>
      <c r="L3256" s="12"/>
      <c r="M3256" s="11"/>
      <c r="N3256" s="11"/>
      <c r="O3256" s="11"/>
      <c r="P3256" s="11"/>
    </row>
    <row r="3257" spans="8:16" x14ac:dyDescent="0.25">
      <c r="H3257" s="12"/>
      <c r="I3257" s="12"/>
      <c r="J3257" s="12"/>
      <c r="K3257" s="12"/>
      <c r="L3257" s="12"/>
      <c r="M3257" s="11"/>
      <c r="N3257" s="11"/>
      <c r="O3257" s="11"/>
      <c r="P3257" s="11"/>
    </row>
    <row r="3258" spans="8:16" x14ac:dyDescent="0.25">
      <c r="H3258" s="12"/>
      <c r="I3258" s="12"/>
      <c r="J3258" s="12"/>
      <c r="K3258" s="12"/>
      <c r="L3258" s="12"/>
      <c r="M3258" s="11"/>
      <c r="N3258" s="11"/>
      <c r="O3258" s="11"/>
      <c r="P3258" s="11"/>
    </row>
    <row r="3259" spans="8:16" x14ac:dyDescent="0.25">
      <c r="H3259" s="12"/>
      <c r="I3259" s="12"/>
      <c r="J3259" s="12"/>
      <c r="K3259" s="12"/>
      <c r="L3259" s="12"/>
      <c r="M3259" s="11"/>
      <c r="N3259" s="11"/>
      <c r="O3259" s="11"/>
      <c r="P3259" s="11"/>
    </row>
    <row r="3260" spans="8:16" x14ac:dyDescent="0.25">
      <c r="H3260" s="12"/>
      <c r="I3260" s="12"/>
      <c r="J3260" s="12"/>
      <c r="K3260" s="12"/>
      <c r="L3260" s="12"/>
      <c r="M3260" s="11"/>
      <c r="N3260" s="11"/>
      <c r="O3260" s="11"/>
      <c r="P3260" s="11"/>
    </row>
    <row r="3261" spans="8:16" x14ac:dyDescent="0.25">
      <c r="H3261" s="12"/>
      <c r="I3261" s="12"/>
      <c r="J3261" s="12"/>
      <c r="K3261" s="12"/>
      <c r="L3261" s="12"/>
      <c r="M3261" s="11"/>
      <c r="N3261" s="11"/>
      <c r="O3261" s="11"/>
      <c r="P3261" s="11"/>
    </row>
    <row r="3262" spans="8:16" x14ac:dyDescent="0.25">
      <c r="H3262" s="12"/>
      <c r="I3262" s="12"/>
      <c r="J3262" s="12"/>
      <c r="K3262" s="12"/>
      <c r="L3262" s="12"/>
      <c r="M3262" s="11"/>
      <c r="N3262" s="11"/>
      <c r="O3262" s="11"/>
      <c r="P3262" s="11"/>
    </row>
    <row r="3263" spans="8:16" x14ac:dyDescent="0.25">
      <c r="H3263" s="12"/>
      <c r="I3263" s="12"/>
      <c r="J3263" s="12"/>
      <c r="K3263" s="12"/>
      <c r="L3263" s="12"/>
      <c r="M3263" s="11"/>
      <c r="N3263" s="11"/>
      <c r="O3263" s="11"/>
      <c r="P3263" s="11"/>
    </row>
    <row r="3264" spans="8:16" x14ac:dyDescent="0.25">
      <c r="H3264" s="12"/>
      <c r="I3264" s="12"/>
      <c r="J3264" s="12"/>
      <c r="K3264" s="12"/>
      <c r="L3264" s="12"/>
      <c r="M3264" s="11"/>
      <c r="N3264" s="11"/>
      <c r="O3264" s="11"/>
      <c r="P3264" s="11"/>
    </row>
    <row r="3265" spans="8:16" x14ac:dyDescent="0.25">
      <c r="H3265" s="12"/>
      <c r="I3265" s="12"/>
      <c r="J3265" s="12"/>
      <c r="K3265" s="12"/>
      <c r="L3265" s="12"/>
      <c r="M3265" s="11"/>
      <c r="N3265" s="11"/>
      <c r="O3265" s="11"/>
      <c r="P3265" s="11"/>
    </row>
    <row r="3266" spans="8:16" x14ac:dyDescent="0.25">
      <c r="H3266" s="12"/>
      <c r="I3266" s="12"/>
      <c r="J3266" s="12"/>
      <c r="K3266" s="12"/>
      <c r="L3266" s="12"/>
      <c r="M3266" s="11"/>
      <c r="N3266" s="11"/>
      <c r="O3266" s="11"/>
      <c r="P3266" s="11"/>
    </row>
    <row r="3267" spans="8:16" x14ac:dyDescent="0.25">
      <c r="H3267" s="12"/>
      <c r="I3267" s="12"/>
      <c r="J3267" s="12"/>
      <c r="K3267" s="12"/>
      <c r="L3267" s="12"/>
      <c r="M3267" s="11"/>
      <c r="N3267" s="11"/>
      <c r="O3267" s="11"/>
      <c r="P3267" s="11"/>
    </row>
    <row r="3268" spans="8:16" x14ac:dyDescent="0.25">
      <c r="H3268" s="12"/>
      <c r="I3268" s="12"/>
      <c r="J3268" s="12"/>
      <c r="K3268" s="12"/>
      <c r="L3268" s="12"/>
      <c r="M3268" s="11"/>
      <c r="N3268" s="11"/>
      <c r="O3268" s="11"/>
      <c r="P3268" s="11"/>
    </row>
    <row r="3269" spans="8:16" x14ac:dyDescent="0.25">
      <c r="H3269" s="12"/>
      <c r="I3269" s="12"/>
      <c r="J3269" s="12"/>
      <c r="K3269" s="12"/>
      <c r="L3269" s="12"/>
      <c r="M3269" s="11"/>
      <c r="N3269" s="11"/>
      <c r="O3269" s="11"/>
      <c r="P3269" s="11"/>
    </row>
    <row r="3270" spans="8:16" x14ac:dyDescent="0.25">
      <c r="H3270" s="12"/>
      <c r="I3270" s="12"/>
      <c r="J3270" s="12"/>
      <c r="K3270" s="12"/>
      <c r="L3270" s="12"/>
      <c r="M3270" s="11"/>
      <c r="N3270" s="11"/>
      <c r="O3270" s="11"/>
      <c r="P3270" s="11"/>
    </row>
    <row r="3271" spans="8:16" x14ac:dyDescent="0.25">
      <c r="H3271" s="12"/>
      <c r="I3271" s="12"/>
      <c r="J3271" s="12"/>
      <c r="K3271" s="12"/>
      <c r="L3271" s="12"/>
      <c r="M3271" s="11"/>
      <c r="N3271" s="11"/>
      <c r="O3271" s="11"/>
      <c r="P3271" s="11"/>
    </row>
    <row r="3272" spans="8:16" x14ac:dyDescent="0.25">
      <c r="H3272" s="12"/>
      <c r="I3272" s="12"/>
      <c r="J3272" s="12"/>
      <c r="K3272" s="12"/>
      <c r="L3272" s="12"/>
      <c r="M3272" s="11"/>
      <c r="N3272" s="11"/>
      <c r="O3272" s="11"/>
      <c r="P3272" s="11"/>
    </row>
    <row r="3273" spans="8:16" x14ac:dyDescent="0.25">
      <c r="H3273" s="12"/>
      <c r="I3273" s="12"/>
      <c r="J3273" s="12"/>
      <c r="K3273" s="12"/>
      <c r="L3273" s="12"/>
      <c r="M3273" s="11"/>
      <c r="N3273" s="11"/>
      <c r="O3273" s="11"/>
      <c r="P3273" s="11"/>
    </row>
    <row r="3274" spans="8:16" x14ac:dyDescent="0.25">
      <c r="H3274" s="12"/>
      <c r="I3274" s="12"/>
      <c r="J3274" s="12"/>
      <c r="K3274" s="12"/>
      <c r="L3274" s="12"/>
      <c r="M3274" s="11"/>
      <c r="N3274" s="11"/>
      <c r="O3274" s="11"/>
      <c r="P3274" s="11"/>
    </row>
    <row r="3275" spans="8:16" x14ac:dyDescent="0.25">
      <c r="H3275" s="12"/>
      <c r="I3275" s="12"/>
      <c r="J3275" s="12"/>
      <c r="K3275" s="12"/>
      <c r="L3275" s="12"/>
      <c r="M3275" s="11"/>
      <c r="N3275" s="11"/>
      <c r="O3275" s="11"/>
      <c r="P3275" s="11"/>
    </row>
    <row r="3276" spans="8:16" x14ac:dyDescent="0.25">
      <c r="H3276" s="12"/>
      <c r="I3276" s="12"/>
      <c r="J3276" s="12"/>
      <c r="K3276" s="12"/>
      <c r="L3276" s="12"/>
      <c r="M3276" s="11"/>
      <c r="N3276" s="11"/>
      <c r="O3276" s="11"/>
      <c r="P3276" s="11"/>
    </row>
    <row r="3277" spans="8:16" x14ac:dyDescent="0.25">
      <c r="H3277" s="12"/>
      <c r="I3277" s="12"/>
      <c r="J3277" s="12"/>
      <c r="K3277" s="12"/>
      <c r="L3277" s="12"/>
      <c r="M3277" s="11"/>
      <c r="N3277" s="11"/>
      <c r="O3277" s="11"/>
      <c r="P3277" s="11"/>
    </row>
    <row r="3278" spans="8:16" x14ac:dyDescent="0.25">
      <c r="H3278" s="12"/>
      <c r="I3278" s="12"/>
      <c r="J3278" s="12"/>
      <c r="K3278" s="12"/>
      <c r="L3278" s="12"/>
      <c r="M3278" s="11"/>
      <c r="N3278" s="11"/>
      <c r="O3278" s="11"/>
      <c r="P3278" s="11"/>
    </row>
    <row r="3279" spans="8:16" x14ac:dyDescent="0.25">
      <c r="H3279" s="12"/>
      <c r="I3279" s="12"/>
      <c r="J3279" s="12"/>
      <c r="K3279" s="12"/>
      <c r="L3279" s="12"/>
      <c r="M3279" s="11"/>
      <c r="N3279" s="11"/>
      <c r="O3279" s="11"/>
      <c r="P3279" s="11"/>
    </row>
    <row r="3280" spans="8:16" x14ac:dyDescent="0.25">
      <c r="H3280" s="12"/>
      <c r="I3280" s="12"/>
      <c r="J3280" s="12"/>
      <c r="K3280" s="12"/>
      <c r="L3280" s="12"/>
      <c r="M3280" s="11"/>
      <c r="N3280" s="11"/>
      <c r="O3280" s="11"/>
      <c r="P3280" s="11"/>
    </row>
    <row r="3281" spans="8:16" x14ac:dyDescent="0.25">
      <c r="H3281" s="12"/>
      <c r="I3281" s="12"/>
      <c r="J3281" s="12"/>
      <c r="K3281" s="12"/>
      <c r="L3281" s="12"/>
      <c r="M3281" s="11"/>
      <c r="N3281" s="11"/>
      <c r="O3281" s="11"/>
      <c r="P3281" s="11"/>
    </row>
    <row r="3282" spans="8:16" x14ac:dyDescent="0.25">
      <c r="H3282" s="12"/>
      <c r="I3282" s="12"/>
      <c r="J3282" s="12"/>
      <c r="K3282" s="12"/>
      <c r="L3282" s="12"/>
      <c r="M3282" s="11"/>
      <c r="N3282" s="11"/>
      <c r="O3282" s="11"/>
      <c r="P3282" s="11"/>
    </row>
    <row r="3283" spans="8:16" x14ac:dyDescent="0.25">
      <c r="H3283" s="12"/>
      <c r="I3283" s="12"/>
      <c r="J3283" s="12"/>
      <c r="K3283" s="12"/>
      <c r="L3283" s="12"/>
      <c r="M3283" s="11"/>
      <c r="N3283" s="11"/>
      <c r="O3283" s="11"/>
      <c r="P3283" s="11"/>
    </row>
    <row r="3284" spans="8:16" x14ac:dyDescent="0.25">
      <c r="H3284" s="12"/>
      <c r="I3284" s="12"/>
      <c r="J3284" s="12"/>
      <c r="K3284" s="12"/>
      <c r="L3284" s="12"/>
      <c r="M3284" s="11"/>
      <c r="N3284" s="11"/>
      <c r="O3284" s="11"/>
      <c r="P3284" s="11"/>
    </row>
    <row r="3285" spans="8:16" x14ac:dyDescent="0.25">
      <c r="H3285" s="12"/>
      <c r="I3285" s="12"/>
      <c r="J3285" s="12"/>
      <c r="K3285" s="12"/>
      <c r="L3285" s="12"/>
      <c r="M3285" s="11"/>
      <c r="N3285" s="11"/>
      <c r="O3285" s="11"/>
      <c r="P3285" s="11"/>
    </row>
    <row r="3286" spans="8:16" x14ac:dyDescent="0.25">
      <c r="H3286" s="12"/>
      <c r="I3286" s="12"/>
      <c r="J3286" s="12"/>
      <c r="K3286" s="12"/>
      <c r="L3286" s="12"/>
      <c r="M3286" s="11"/>
      <c r="N3286" s="11"/>
      <c r="O3286" s="11"/>
      <c r="P3286" s="11"/>
    </row>
    <row r="3287" spans="8:16" x14ac:dyDescent="0.25">
      <c r="H3287" s="12"/>
      <c r="I3287" s="12"/>
      <c r="J3287" s="12"/>
      <c r="K3287" s="12"/>
      <c r="L3287" s="12"/>
      <c r="M3287" s="11"/>
      <c r="N3287" s="11"/>
      <c r="O3287" s="11"/>
      <c r="P3287" s="11"/>
    </row>
    <row r="3288" spans="8:16" x14ac:dyDescent="0.25">
      <c r="H3288" s="12"/>
      <c r="I3288" s="12"/>
      <c r="J3288" s="12"/>
      <c r="K3288" s="12"/>
      <c r="L3288" s="12"/>
      <c r="M3288" s="11"/>
      <c r="N3288" s="11"/>
      <c r="O3288" s="11"/>
      <c r="P3288" s="11"/>
    </row>
    <row r="3289" spans="8:16" x14ac:dyDescent="0.25">
      <c r="H3289" s="12"/>
      <c r="I3289" s="12"/>
      <c r="J3289" s="12"/>
      <c r="K3289" s="12"/>
      <c r="L3289" s="12"/>
      <c r="M3289" s="11"/>
      <c r="N3289" s="11"/>
      <c r="O3289" s="11"/>
      <c r="P3289" s="11"/>
    </row>
    <row r="3290" spans="8:16" x14ac:dyDescent="0.25">
      <c r="H3290" s="12"/>
      <c r="I3290" s="12"/>
      <c r="J3290" s="12"/>
      <c r="K3290" s="12"/>
      <c r="L3290" s="12"/>
      <c r="M3290" s="11"/>
      <c r="N3290" s="11"/>
      <c r="O3290" s="11"/>
      <c r="P3290" s="11"/>
    </row>
    <row r="3291" spans="8:16" x14ac:dyDescent="0.25">
      <c r="H3291" s="12"/>
      <c r="I3291" s="12"/>
      <c r="J3291" s="12"/>
      <c r="K3291" s="12"/>
      <c r="L3291" s="12"/>
      <c r="M3291" s="11"/>
      <c r="N3291" s="11"/>
      <c r="O3291" s="11"/>
      <c r="P3291" s="11"/>
    </row>
    <row r="3292" spans="8:16" x14ac:dyDescent="0.25">
      <c r="H3292" s="12"/>
      <c r="I3292" s="12"/>
      <c r="J3292" s="12"/>
      <c r="K3292" s="12"/>
      <c r="L3292" s="12"/>
      <c r="M3292" s="11"/>
      <c r="N3292" s="11"/>
      <c r="O3292" s="11"/>
      <c r="P3292" s="11"/>
    </row>
    <row r="3293" spans="8:16" x14ac:dyDescent="0.25">
      <c r="H3293" s="12"/>
      <c r="I3293" s="12"/>
      <c r="J3293" s="12"/>
      <c r="K3293" s="12"/>
      <c r="L3293" s="12"/>
      <c r="M3293" s="11"/>
      <c r="N3293" s="11"/>
      <c r="O3293" s="11"/>
      <c r="P3293" s="11"/>
    </row>
    <row r="3294" spans="8:16" x14ac:dyDescent="0.25">
      <c r="H3294" s="12"/>
      <c r="I3294" s="12"/>
      <c r="J3294" s="12"/>
      <c r="K3294" s="12"/>
      <c r="L3294" s="12"/>
      <c r="M3294" s="11"/>
      <c r="N3294" s="11"/>
      <c r="O3294" s="11"/>
      <c r="P3294" s="11"/>
    </row>
    <row r="3295" spans="8:16" x14ac:dyDescent="0.25">
      <c r="H3295" s="12"/>
      <c r="I3295" s="12"/>
      <c r="J3295" s="12"/>
      <c r="K3295" s="12"/>
      <c r="L3295" s="12"/>
      <c r="M3295" s="11"/>
      <c r="N3295" s="11"/>
      <c r="O3295" s="11"/>
      <c r="P3295" s="11"/>
    </row>
    <row r="3296" spans="8:16" x14ac:dyDescent="0.25">
      <c r="H3296" s="12"/>
      <c r="I3296" s="12"/>
      <c r="J3296" s="12"/>
      <c r="K3296" s="12"/>
      <c r="L3296" s="12"/>
      <c r="M3296" s="11"/>
      <c r="N3296" s="11"/>
      <c r="O3296" s="11"/>
      <c r="P3296" s="11"/>
    </row>
    <row r="3297" spans="8:16" x14ac:dyDescent="0.25">
      <c r="H3297" s="12"/>
      <c r="I3297" s="12"/>
      <c r="J3297" s="12"/>
      <c r="K3297" s="12"/>
      <c r="L3297" s="12"/>
      <c r="M3297" s="11"/>
      <c r="N3297" s="11"/>
      <c r="O3297" s="11"/>
      <c r="P3297" s="11"/>
    </row>
    <row r="3298" spans="8:16" x14ac:dyDescent="0.25">
      <c r="H3298" s="12"/>
      <c r="I3298" s="12"/>
      <c r="J3298" s="12"/>
      <c r="K3298" s="12"/>
      <c r="L3298" s="12"/>
      <c r="M3298" s="11"/>
      <c r="N3298" s="11"/>
      <c r="O3298" s="11"/>
      <c r="P3298" s="11"/>
    </row>
    <row r="3299" spans="8:16" x14ac:dyDescent="0.25">
      <c r="H3299" s="12"/>
      <c r="I3299" s="12"/>
      <c r="J3299" s="12"/>
      <c r="K3299" s="12"/>
      <c r="L3299" s="12"/>
      <c r="M3299" s="11"/>
      <c r="N3299" s="11"/>
      <c r="O3299" s="11"/>
      <c r="P3299" s="11"/>
    </row>
    <row r="3300" spans="8:16" x14ac:dyDescent="0.25">
      <c r="H3300" s="12"/>
      <c r="I3300" s="12"/>
      <c r="J3300" s="12"/>
      <c r="K3300" s="12"/>
      <c r="L3300" s="12"/>
      <c r="M3300" s="11"/>
      <c r="N3300" s="11"/>
      <c r="O3300" s="11"/>
      <c r="P3300" s="11"/>
    </row>
    <row r="3301" spans="8:16" x14ac:dyDescent="0.25">
      <c r="H3301" s="12"/>
      <c r="I3301" s="12"/>
      <c r="J3301" s="12"/>
      <c r="K3301" s="12"/>
      <c r="L3301" s="12"/>
      <c r="M3301" s="11"/>
      <c r="N3301" s="11"/>
      <c r="O3301" s="11"/>
      <c r="P3301" s="11"/>
    </row>
    <row r="3302" spans="8:16" x14ac:dyDescent="0.25">
      <c r="H3302" s="12"/>
      <c r="I3302" s="12"/>
      <c r="J3302" s="12"/>
      <c r="K3302" s="12"/>
      <c r="L3302" s="12"/>
      <c r="M3302" s="11"/>
      <c r="N3302" s="11"/>
      <c r="O3302" s="11"/>
      <c r="P3302" s="11"/>
    </row>
    <row r="3303" spans="8:16" x14ac:dyDescent="0.25">
      <c r="H3303" s="12"/>
      <c r="I3303" s="12"/>
      <c r="J3303" s="12"/>
      <c r="K3303" s="12"/>
      <c r="L3303" s="12"/>
      <c r="M3303" s="11"/>
      <c r="N3303" s="11"/>
      <c r="O3303" s="11"/>
      <c r="P3303" s="11"/>
    </row>
    <row r="3304" spans="8:16" x14ac:dyDescent="0.25">
      <c r="H3304" s="12"/>
      <c r="I3304" s="12"/>
      <c r="J3304" s="12"/>
      <c r="K3304" s="12"/>
      <c r="L3304" s="12"/>
      <c r="M3304" s="11"/>
      <c r="N3304" s="11"/>
      <c r="O3304" s="11"/>
      <c r="P3304" s="11"/>
    </row>
    <row r="3305" spans="8:16" x14ac:dyDescent="0.25">
      <c r="H3305" s="12"/>
      <c r="I3305" s="12"/>
      <c r="J3305" s="12"/>
      <c r="K3305" s="12"/>
      <c r="L3305" s="12"/>
      <c r="M3305" s="11"/>
      <c r="N3305" s="11"/>
      <c r="O3305" s="11"/>
      <c r="P3305" s="11"/>
    </row>
    <row r="3306" spans="8:16" x14ac:dyDescent="0.25">
      <c r="H3306" s="12"/>
      <c r="I3306" s="12"/>
      <c r="J3306" s="12"/>
      <c r="K3306" s="12"/>
      <c r="L3306" s="12"/>
      <c r="M3306" s="11"/>
      <c r="N3306" s="11"/>
      <c r="O3306" s="11"/>
      <c r="P3306" s="11"/>
    </row>
    <row r="3307" spans="8:16" x14ac:dyDescent="0.25">
      <c r="H3307" s="12"/>
      <c r="I3307" s="12"/>
      <c r="J3307" s="12"/>
      <c r="K3307" s="12"/>
      <c r="L3307" s="12"/>
      <c r="M3307" s="11"/>
      <c r="N3307" s="11"/>
      <c r="O3307" s="11"/>
      <c r="P3307" s="11"/>
    </row>
    <row r="3308" spans="8:16" x14ac:dyDescent="0.25">
      <c r="H3308" s="12"/>
      <c r="I3308" s="12"/>
      <c r="J3308" s="12"/>
      <c r="K3308" s="12"/>
      <c r="L3308" s="12"/>
      <c r="M3308" s="11"/>
      <c r="N3308" s="11"/>
      <c r="O3308" s="11"/>
      <c r="P3308" s="11"/>
    </row>
    <row r="3309" spans="8:16" x14ac:dyDescent="0.25">
      <c r="H3309" s="12"/>
      <c r="I3309" s="12"/>
      <c r="J3309" s="12"/>
      <c r="K3309" s="12"/>
      <c r="L3309" s="12"/>
      <c r="M3309" s="11"/>
      <c r="N3309" s="11"/>
      <c r="O3309" s="11"/>
      <c r="P3309" s="11"/>
    </row>
    <row r="3310" spans="8:16" x14ac:dyDescent="0.25">
      <c r="H3310" s="12"/>
      <c r="I3310" s="12"/>
      <c r="J3310" s="12"/>
      <c r="K3310" s="12"/>
      <c r="L3310" s="12"/>
      <c r="M3310" s="11"/>
      <c r="N3310" s="11"/>
      <c r="O3310" s="11"/>
      <c r="P3310" s="11"/>
    </row>
    <row r="3311" spans="8:16" x14ac:dyDescent="0.25">
      <c r="H3311" s="12"/>
      <c r="I3311" s="12"/>
      <c r="J3311" s="12"/>
      <c r="K3311" s="12"/>
      <c r="L3311" s="12"/>
      <c r="M3311" s="11"/>
      <c r="N3311" s="11"/>
      <c r="O3311" s="11"/>
      <c r="P3311" s="11"/>
    </row>
    <row r="3312" spans="8:16" x14ac:dyDescent="0.25">
      <c r="H3312" s="12"/>
      <c r="I3312" s="12"/>
      <c r="J3312" s="12"/>
      <c r="K3312" s="12"/>
      <c r="L3312" s="12"/>
      <c r="M3312" s="11"/>
      <c r="N3312" s="11"/>
      <c r="O3312" s="11"/>
      <c r="P3312" s="11"/>
    </row>
    <row r="3313" spans="8:16" x14ac:dyDescent="0.25">
      <c r="H3313" s="12"/>
      <c r="I3313" s="12"/>
      <c r="J3313" s="12"/>
      <c r="K3313" s="12"/>
      <c r="L3313" s="12"/>
      <c r="M3313" s="11"/>
      <c r="N3313" s="11"/>
      <c r="O3313" s="11"/>
      <c r="P3313" s="11"/>
    </row>
    <row r="3314" spans="8:16" x14ac:dyDescent="0.25">
      <c r="H3314" s="12"/>
      <c r="I3314" s="12"/>
      <c r="J3314" s="12"/>
      <c r="K3314" s="12"/>
      <c r="L3314" s="12"/>
      <c r="M3314" s="11"/>
      <c r="N3314" s="11"/>
      <c r="O3314" s="11"/>
      <c r="P3314" s="11"/>
    </row>
    <row r="3315" spans="8:16" x14ac:dyDescent="0.25">
      <c r="H3315" s="12"/>
      <c r="I3315" s="12"/>
      <c r="J3315" s="12"/>
      <c r="K3315" s="12"/>
      <c r="L3315" s="12"/>
      <c r="M3315" s="11"/>
      <c r="N3315" s="11"/>
      <c r="O3315" s="11"/>
      <c r="P3315" s="11"/>
    </row>
    <row r="3316" spans="8:16" x14ac:dyDescent="0.25">
      <c r="H3316" s="12"/>
      <c r="I3316" s="12"/>
      <c r="J3316" s="12"/>
      <c r="K3316" s="12"/>
      <c r="L3316" s="12"/>
      <c r="M3316" s="11"/>
      <c r="N3316" s="11"/>
      <c r="O3316" s="11"/>
      <c r="P3316" s="11"/>
    </row>
    <row r="3317" spans="8:16" x14ac:dyDescent="0.25">
      <c r="H3317" s="12"/>
      <c r="I3317" s="12"/>
      <c r="J3317" s="12"/>
      <c r="K3317" s="12"/>
      <c r="L3317" s="12"/>
      <c r="M3317" s="11"/>
      <c r="N3317" s="11"/>
      <c r="O3317" s="11"/>
      <c r="P3317" s="11"/>
    </row>
    <row r="3318" spans="8:16" x14ac:dyDescent="0.25">
      <c r="H3318" s="12"/>
      <c r="I3318" s="12"/>
      <c r="J3318" s="12"/>
      <c r="K3318" s="12"/>
      <c r="L3318" s="12"/>
      <c r="M3318" s="11"/>
      <c r="N3318" s="11"/>
      <c r="O3318" s="11"/>
      <c r="P3318" s="11"/>
    </row>
    <row r="3319" spans="8:16" x14ac:dyDescent="0.25">
      <c r="H3319" s="12"/>
      <c r="I3319" s="12"/>
      <c r="J3319" s="12"/>
      <c r="K3319" s="12"/>
      <c r="L3319" s="12"/>
      <c r="M3319" s="11"/>
      <c r="N3319" s="11"/>
      <c r="O3319" s="11"/>
      <c r="P3319" s="11"/>
    </row>
    <row r="3320" spans="8:16" x14ac:dyDescent="0.25">
      <c r="H3320" s="12"/>
      <c r="I3320" s="12"/>
      <c r="J3320" s="12"/>
      <c r="K3320" s="12"/>
      <c r="L3320" s="12"/>
      <c r="M3320" s="11"/>
      <c r="N3320" s="11"/>
      <c r="O3320" s="11"/>
      <c r="P3320" s="11"/>
    </row>
    <row r="3321" spans="8:16" x14ac:dyDescent="0.25">
      <c r="H3321" s="12"/>
      <c r="I3321" s="12"/>
      <c r="J3321" s="12"/>
      <c r="K3321" s="12"/>
      <c r="L3321" s="12"/>
      <c r="M3321" s="11"/>
      <c r="N3321" s="11"/>
      <c r="O3321" s="11"/>
      <c r="P3321" s="11"/>
    </row>
    <row r="3322" spans="8:16" x14ac:dyDescent="0.25">
      <c r="H3322" s="12"/>
      <c r="I3322" s="12"/>
      <c r="J3322" s="12"/>
      <c r="K3322" s="12"/>
      <c r="L3322" s="12"/>
      <c r="M3322" s="11"/>
      <c r="N3322" s="11"/>
      <c r="O3322" s="11"/>
      <c r="P3322" s="11"/>
    </row>
    <row r="3323" spans="8:16" x14ac:dyDescent="0.25">
      <c r="H3323" s="12"/>
      <c r="I3323" s="12"/>
      <c r="J3323" s="12"/>
      <c r="K3323" s="12"/>
      <c r="L3323" s="12"/>
      <c r="M3323" s="11"/>
      <c r="N3323" s="11"/>
      <c r="O3323" s="11"/>
      <c r="P3323" s="11"/>
    </row>
    <row r="3324" spans="8:16" x14ac:dyDescent="0.25">
      <c r="H3324" s="12"/>
      <c r="I3324" s="12"/>
      <c r="J3324" s="12"/>
      <c r="K3324" s="12"/>
      <c r="L3324" s="12"/>
      <c r="M3324" s="11"/>
      <c r="N3324" s="11"/>
      <c r="O3324" s="11"/>
      <c r="P3324" s="11"/>
    </row>
    <row r="3325" spans="8:16" x14ac:dyDescent="0.25">
      <c r="H3325" s="12"/>
      <c r="I3325" s="12"/>
      <c r="J3325" s="12"/>
      <c r="K3325" s="12"/>
      <c r="L3325" s="12"/>
      <c r="M3325" s="11"/>
      <c r="N3325" s="11"/>
      <c r="O3325" s="11"/>
      <c r="P3325" s="11"/>
    </row>
    <row r="3326" spans="8:16" x14ac:dyDescent="0.25">
      <c r="H3326" s="12"/>
      <c r="I3326" s="12"/>
      <c r="J3326" s="12"/>
      <c r="K3326" s="12"/>
      <c r="L3326" s="12"/>
      <c r="M3326" s="11"/>
      <c r="N3326" s="11"/>
      <c r="O3326" s="11"/>
      <c r="P3326" s="11"/>
    </row>
    <row r="3327" spans="8:16" x14ac:dyDescent="0.25">
      <c r="H3327" s="12"/>
      <c r="I3327" s="12"/>
      <c r="J3327" s="12"/>
      <c r="K3327" s="12"/>
      <c r="L3327" s="12"/>
      <c r="M3327" s="11"/>
      <c r="N3327" s="11"/>
      <c r="O3327" s="11"/>
      <c r="P3327" s="11"/>
    </row>
    <row r="3328" spans="8:16" x14ac:dyDescent="0.25">
      <c r="H3328" s="12"/>
      <c r="I3328" s="12"/>
      <c r="J3328" s="12"/>
      <c r="K3328" s="12"/>
      <c r="L3328" s="12"/>
      <c r="M3328" s="11"/>
      <c r="N3328" s="11"/>
      <c r="O3328" s="11"/>
      <c r="P3328" s="11"/>
    </row>
    <row r="3329" spans="8:16" x14ac:dyDescent="0.25">
      <c r="H3329" s="12"/>
      <c r="I3329" s="12"/>
      <c r="J3329" s="12"/>
      <c r="K3329" s="12"/>
      <c r="L3329" s="12"/>
      <c r="M3329" s="11"/>
      <c r="N3329" s="11"/>
      <c r="O3329" s="11"/>
      <c r="P3329" s="11"/>
    </row>
    <row r="3330" spans="8:16" x14ac:dyDescent="0.25">
      <c r="H3330" s="12"/>
      <c r="I3330" s="12"/>
      <c r="J3330" s="12"/>
      <c r="K3330" s="12"/>
      <c r="L3330" s="12"/>
      <c r="M3330" s="11"/>
      <c r="N3330" s="11"/>
      <c r="O3330" s="11"/>
      <c r="P3330" s="11"/>
    </row>
    <row r="3331" spans="8:16" x14ac:dyDescent="0.25">
      <c r="H3331" s="12"/>
      <c r="I3331" s="12"/>
      <c r="J3331" s="12"/>
      <c r="K3331" s="12"/>
      <c r="L3331" s="12"/>
      <c r="M3331" s="11"/>
      <c r="N3331" s="11"/>
      <c r="O3331" s="11"/>
      <c r="P3331" s="11"/>
    </row>
    <row r="3332" spans="8:16" x14ac:dyDescent="0.25">
      <c r="H3332" s="12"/>
      <c r="I3332" s="12"/>
      <c r="J3332" s="12"/>
      <c r="K3332" s="12"/>
      <c r="L3332" s="12"/>
      <c r="M3332" s="11"/>
      <c r="N3332" s="11"/>
      <c r="O3332" s="11"/>
      <c r="P3332" s="11"/>
    </row>
    <row r="3333" spans="8:16" x14ac:dyDescent="0.25">
      <c r="H3333" s="12"/>
      <c r="I3333" s="12"/>
      <c r="J3333" s="12"/>
      <c r="K3333" s="12"/>
      <c r="L3333" s="12"/>
      <c r="M3333" s="11"/>
      <c r="N3333" s="11"/>
      <c r="O3333" s="11"/>
      <c r="P3333" s="11"/>
    </row>
    <row r="3334" spans="8:16" x14ac:dyDescent="0.25">
      <c r="H3334" s="12"/>
      <c r="I3334" s="12"/>
      <c r="J3334" s="12"/>
      <c r="K3334" s="12"/>
      <c r="L3334" s="12"/>
      <c r="M3334" s="11"/>
      <c r="N3334" s="11"/>
      <c r="O3334" s="11"/>
      <c r="P3334" s="11"/>
    </row>
    <row r="3335" spans="8:16" x14ac:dyDescent="0.25">
      <c r="H3335" s="12"/>
      <c r="I3335" s="12"/>
      <c r="J3335" s="12"/>
      <c r="K3335" s="12"/>
      <c r="L3335" s="12"/>
      <c r="M3335" s="11"/>
      <c r="N3335" s="11"/>
      <c r="O3335" s="11"/>
      <c r="P3335" s="11"/>
    </row>
    <row r="3336" spans="8:16" x14ac:dyDescent="0.25">
      <c r="H3336" s="12"/>
      <c r="I3336" s="12"/>
      <c r="J3336" s="12"/>
      <c r="K3336" s="12"/>
      <c r="L3336" s="12"/>
      <c r="M3336" s="11"/>
      <c r="N3336" s="11"/>
      <c r="O3336" s="11"/>
      <c r="P3336" s="11"/>
    </row>
    <row r="3337" spans="8:16" x14ac:dyDescent="0.25">
      <c r="H3337" s="12"/>
      <c r="I3337" s="12"/>
      <c r="J3337" s="12"/>
      <c r="K3337" s="12"/>
      <c r="L3337" s="12"/>
      <c r="M3337" s="11"/>
      <c r="N3337" s="11"/>
      <c r="O3337" s="11"/>
      <c r="P3337" s="11"/>
    </row>
    <row r="3338" spans="8:16" x14ac:dyDescent="0.25">
      <c r="H3338" s="12"/>
      <c r="I3338" s="12"/>
      <c r="J3338" s="12"/>
      <c r="K3338" s="12"/>
      <c r="L3338" s="12"/>
      <c r="M3338" s="11"/>
      <c r="N3338" s="11"/>
      <c r="O3338" s="11"/>
      <c r="P3338" s="11"/>
    </row>
    <row r="3339" spans="8:16" x14ac:dyDescent="0.25">
      <c r="H3339" s="12"/>
      <c r="I3339" s="12"/>
      <c r="J3339" s="12"/>
      <c r="K3339" s="12"/>
      <c r="L3339" s="12"/>
      <c r="M3339" s="11"/>
      <c r="N3339" s="11"/>
      <c r="O3339" s="11"/>
      <c r="P3339" s="11"/>
    </row>
    <row r="3340" spans="8:16" x14ac:dyDescent="0.25">
      <c r="H3340" s="12"/>
      <c r="I3340" s="12"/>
      <c r="J3340" s="12"/>
      <c r="K3340" s="12"/>
      <c r="L3340" s="12"/>
      <c r="M3340" s="11"/>
      <c r="N3340" s="11"/>
      <c r="O3340" s="11"/>
      <c r="P3340" s="11"/>
    </row>
    <row r="3341" spans="8:16" x14ac:dyDescent="0.25">
      <c r="H3341" s="12"/>
      <c r="I3341" s="12"/>
      <c r="J3341" s="12"/>
      <c r="K3341" s="12"/>
      <c r="L3341" s="12"/>
      <c r="M3341" s="11"/>
      <c r="N3341" s="11"/>
      <c r="O3341" s="11"/>
      <c r="P3341" s="11"/>
    </row>
    <row r="3342" spans="8:16" x14ac:dyDescent="0.25">
      <c r="H3342" s="12"/>
      <c r="I3342" s="12"/>
      <c r="J3342" s="12"/>
      <c r="K3342" s="12"/>
      <c r="L3342" s="12"/>
      <c r="M3342" s="11"/>
      <c r="N3342" s="11"/>
      <c r="O3342" s="11"/>
      <c r="P3342" s="11"/>
    </row>
    <row r="3343" spans="8:16" x14ac:dyDescent="0.25">
      <c r="H3343" s="12"/>
      <c r="I3343" s="12"/>
      <c r="J3343" s="12"/>
      <c r="K3343" s="12"/>
      <c r="L3343" s="12"/>
      <c r="M3343" s="11"/>
      <c r="N3343" s="11"/>
      <c r="O3343" s="11"/>
      <c r="P3343" s="11"/>
    </row>
    <row r="3344" spans="8:16" x14ac:dyDescent="0.25">
      <c r="H3344" s="12"/>
      <c r="I3344" s="12"/>
      <c r="J3344" s="12"/>
      <c r="K3344" s="12"/>
      <c r="L3344" s="12"/>
      <c r="M3344" s="11"/>
      <c r="N3344" s="11"/>
      <c r="O3344" s="11"/>
      <c r="P3344" s="11"/>
    </row>
    <row r="3345" spans="8:16" x14ac:dyDescent="0.25">
      <c r="H3345" s="12"/>
      <c r="I3345" s="12"/>
      <c r="J3345" s="12"/>
      <c r="K3345" s="12"/>
      <c r="L3345" s="12"/>
      <c r="M3345" s="11"/>
      <c r="N3345" s="11"/>
      <c r="O3345" s="11"/>
      <c r="P3345" s="11"/>
    </row>
    <row r="3346" spans="8:16" x14ac:dyDescent="0.25">
      <c r="H3346" s="12"/>
      <c r="I3346" s="12"/>
      <c r="J3346" s="12"/>
      <c r="K3346" s="12"/>
      <c r="L3346" s="12"/>
      <c r="M3346" s="11"/>
      <c r="N3346" s="11"/>
      <c r="O3346" s="11"/>
      <c r="P3346" s="11"/>
    </row>
    <row r="3347" spans="8:16" x14ac:dyDescent="0.25">
      <c r="H3347" s="12"/>
      <c r="I3347" s="12"/>
      <c r="J3347" s="12"/>
      <c r="K3347" s="12"/>
      <c r="L3347" s="12"/>
      <c r="M3347" s="11"/>
      <c r="N3347" s="11"/>
      <c r="O3347" s="11"/>
      <c r="P3347" s="11"/>
    </row>
    <row r="3348" spans="8:16" x14ac:dyDescent="0.25">
      <c r="H3348" s="12"/>
      <c r="I3348" s="12"/>
      <c r="J3348" s="12"/>
      <c r="K3348" s="12"/>
      <c r="L3348" s="12"/>
      <c r="M3348" s="11"/>
      <c r="N3348" s="11"/>
      <c r="O3348" s="11"/>
      <c r="P3348" s="11"/>
    </row>
    <row r="3349" spans="8:16" x14ac:dyDescent="0.25">
      <c r="H3349" s="12"/>
      <c r="I3349" s="12"/>
      <c r="J3349" s="12"/>
      <c r="K3349" s="12"/>
      <c r="L3349" s="12"/>
      <c r="M3349" s="11"/>
      <c r="N3349" s="11"/>
      <c r="O3349" s="11"/>
      <c r="P3349" s="11"/>
    </row>
    <row r="3350" spans="8:16" x14ac:dyDescent="0.25">
      <c r="H3350" s="12"/>
      <c r="I3350" s="12"/>
      <c r="J3350" s="12"/>
      <c r="K3350" s="12"/>
      <c r="L3350" s="12"/>
      <c r="M3350" s="11"/>
      <c r="N3350" s="11"/>
      <c r="O3350" s="11"/>
      <c r="P3350" s="11"/>
    </row>
    <row r="3351" spans="8:16" x14ac:dyDescent="0.25">
      <c r="H3351" s="12"/>
      <c r="I3351" s="12"/>
      <c r="J3351" s="12"/>
      <c r="K3351" s="12"/>
      <c r="L3351" s="12"/>
      <c r="M3351" s="11"/>
      <c r="N3351" s="11"/>
      <c r="O3351" s="11"/>
      <c r="P3351" s="11"/>
    </row>
    <row r="3352" spans="8:16" x14ac:dyDescent="0.25">
      <c r="H3352" s="12"/>
      <c r="I3352" s="12"/>
      <c r="J3352" s="12"/>
      <c r="K3352" s="12"/>
      <c r="L3352" s="12"/>
      <c r="M3352" s="11"/>
      <c r="N3352" s="11"/>
      <c r="O3352" s="11"/>
      <c r="P3352" s="11"/>
    </row>
    <row r="3353" spans="8:16" x14ac:dyDescent="0.25">
      <c r="H3353" s="12"/>
      <c r="I3353" s="12"/>
      <c r="J3353" s="12"/>
      <c r="K3353" s="12"/>
      <c r="L3353" s="12"/>
      <c r="M3353" s="11"/>
      <c r="N3353" s="11"/>
      <c r="O3353" s="11"/>
      <c r="P3353" s="11"/>
    </row>
    <row r="3354" spans="8:16" x14ac:dyDescent="0.25">
      <c r="H3354" s="12"/>
      <c r="I3354" s="12"/>
      <c r="J3354" s="12"/>
      <c r="K3354" s="12"/>
      <c r="L3354" s="12"/>
      <c r="M3354" s="11"/>
      <c r="N3354" s="11"/>
      <c r="O3354" s="11"/>
      <c r="P3354" s="11"/>
    </row>
    <row r="3355" spans="8:16" x14ac:dyDescent="0.25">
      <c r="H3355" s="12"/>
      <c r="I3355" s="12"/>
      <c r="J3355" s="12"/>
      <c r="K3355" s="12"/>
      <c r="L3355" s="12"/>
      <c r="M3355" s="11"/>
      <c r="N3355" s="11"/>
      <c r="O3355" s="11"/>
      <c r="P3355" s="11"/>
    </row>
    <row r="3356" spans="8:16" x14ac:dyDescent="0.25">
      <c r="H3356" s="12"/>
      <c r="I3356" s="12"/>
      <c r="J3356" s="12"/>
      <c r="K3356" s="12"/>
      <c r="L3356" s="12"/>
      <c r="M3356" s="11"/>
      <c r="N3356" s="11"/>
      <c r="O3356" s="11"/>
      <c r="P3356" s="11"/>
    </row>
    <row r="3357" spans="8:16" x14ac:dyDescent="0.25">
      <c r="H3357" s="12"/>
      <c r="I3357" s="12"/>
      <c r="J3357" s="12"/>
      <c r="K3357" s="12"/>
      <c r="L3357" s="12"/>
      <c r="M3357" s="11"/>
      <c r="N3357" s="11"/>
      <c r="O3357" s="11"/>
      <c r="P3357" s="11"/>
    </row>
    <row r="3358" spans="8:16" x14ac:dyDescent="0.25">
      <c r="H3358" s="12"/>
      <c r="I3358" s="12"/>
      <c r="J3358" s="12"/>
      <c r="K3358" s="12"/>
      <c r="L3358" s="12"/>
      <c r="M3358" s="11"/>
      <c r="N3358" s="11"/>
      <c r="O3358" s="11"/>
      <c r="P3358" s="11"/>
    </row>
    <row r="3359" spans="8:16" x14ac:dyDescent="0.25">
      <c r="H3359" s="12"/>
      <c r="I3359" s="12"/>
      <c r="J3359" s="12"/>
      <c r="K3359" s="12"/>
      <c r="L3359" s="12"/>
      <c r="M3359" s="11"/>
      <c r="N3359" s="11"/>
      <c r="O3359" s="11"/>
      <c r="P3359" s="11"/>
    </row>
    <row r="3360" spans="8:16" x14ac:dyDescent="0.25">
      <c r="H3360" s="12"/>
      <c r="I3360" s="12"/>
      <c r="J3360" s="12"/>
      <c r="K3360" s="12"/>
      <c r="L3360" s="12"/>
      <c r="M3360" s="11"/>
      <c r="N3360" s="11"/>
      <c r="O3360" s="11"/>
      <c r="P3360" s="11"/>
    </row>
    <row r="3361" spans="8:16" x14ac:dyDescent="0.25">
      <c r="H3361" s="12"/>
      <c r="I3361" s="12"/>
      <c r="J3361" s="12"/>
      <c r="K3361" s="12"/>
      <c r="L3361" s="12"/>
      <c r="M3361" s="11"/>
      <c r="N3361" s="11"/>
      <c r="O3361" s="11"/>
      <c r="P3361" s="11"/>
    </row>
    <row r="3362" spans="8:16" x14ac:dyDescent="0.25">
      <c r="H3362" s="12"/>
      <c r="I3362" s="12"/>
      <c r="J3362" s="12"/>
      <c r="K3362" s="12"/>
      <c r="L3362" s="12"/>
      <c r="M3362" s="11"/>
      <c r="N3362" s="11"/>
      <c r="O3362" s="11"/>
      <c r="P3362" s="11"/>
    </row>
    <row r="3363" spans="8:16" x14ac:dyDescent="0.25">
      <c r="H3363" s="12"/>
      <c r="I3363" s="12"/>
      <c r="J3363" s="12"/>
      <c r="K3363" s="12"/>
      <c r="L3363" s="12"/>
      <c r="M3363" s="11"/>
      <c r="N3363" s="11"/>
      <c r="O3363" s="11"/>
      <c r="P3363" s="11"/>
    </row>
    <row r="3364" spans="8:16" x14ac:dyDescent="0.25">
      <c r="H3364" s="12"/>
      <c r="I3364" s="12"/>
      <c r="J3364" s="12"/>
      <c r="K3364" s="12"/>
      <c r="L3364" s="12"/>
      <c r="M3364" s="11"/>
      <c r="N3364" s="11"/>
      <c r="O3364" s="11"/>
      <c r="P3364" s="11"/>
    </row>
    <row r="3365" spans="8:16" x14ac:dyDescent="0.25">
      <c r="H3365" s="12"/>
      <c r="I3365" s="12"/>
      <c r="J3365" s="12"/>
      <c r="K3365" s="12"/>
      <c r="L3365" s="12"/>
      <c r="M3365" s="11"/>
      <c r="N3365" s="11"/>
      <c r="O3365" s="11"/>
      <c r="P3365" s="11"/>
    </row>
    <row r="3366" spans="8:16" x14ac:dyDescent="0.25">
      <c r="H3366" s="12"/>
      <c r="I3366" s="12"/>
      <c r="J3366" s="12"/>
      <c r="K3366" s="12"/>
      <c r="L3366" s="12"/>
      <c r="M3366" s="11"/>
      <c r="N3366" s="11"/>
      <c r="O3366" s="11"/>
      <c r="P3366" s="11"/>
    </row>
    <row r="3367" spans="8:16" x14ac:dyDescent="0.25">
      <c r="H3367" s="12"/>
      <c r="I3367" s="12"/>
      <c r="J3367" s="12"/>
      <c r="K3367" s="12"/>
      <c r="L3367" s="12"/>
      <c r="M3367" s="11"/>
      <c r="N3367" s="11"/>
      <c r="O3367" s="11"/>
      <c r="P3367" s="11"/>
    </row>
    <row r="3368" spans="8:16" x14ac:dyDescent="0.25">
      <c r="H3368" s="12"/>
      <c r="I3368" s="12"/>
      <c r="J3368" s="12"/>
      <c r="K3368" s="12"/>
      <c r="L3368" s="12"/>
      <c r="M3368" s="11"/>
      <c r="N3368" s="11"/>
      <c r="O3368" s="11"/>
      <c r="P3368" s="11"/>
    </row>
    <row r="3369" spans="8:16" x14ac:dyDescent="0.25">
      <c r="H3369" s="12"/>
      <c r="I3369" s="12"/>
      <c r="J3369" s="12"/>
      <c r="K3369" s="12"/>
      <c r="L3369" s="12"/>
      <c r="M3369" s="11"/>
      <c r="N3369" s="11"/>
      <c r="O3369" s="11"/>
      <c r="P3369" s="11"/>
    </row>
    <row r="3370" spans="8:16" x14ac:dyDescent="0.25">
      <c r="H3370" s="12"/>
      <c r="I3370" s="12"/>
      <c r="J3370" s="12"/>
      <c r="K3370" s="12"/>
      <c r="L3370" s="12"/>
      <c r="M3370" s="11"/>
      <c r="N3370" s="11"/>
      <c r="O3370" s="11"/>
      <c r="P3370" s="11"/>
    </row>
    <row r="3371" spans="8:16" x14ac:dyDescent="0.25">
      <c r="H3371" s="12"/>
      <c r="I3371" s="12"/>
      <c r="J3371" s="12"/>
      <c r="K3371" s="12"/>
      <c r="L3371" s="12"/>
      <c r="M3371" s="11"/>
      <c r="N3371" s="11"/>
      <c r="O3371" s="11"/>
      <c r="P3371" s="11"/>
    </row>
    <row r="3372" spans="8:16" x14ac:dyDescent="0.25">
      <c r="H3372" s="12"/>
      <c r="I3372" s="12"/>
      <c r="J3372" s="12"/>
      <c r="K3372" s="12"/>
      <c r="L3372" s="12"/>
      <c r="M3372" s="11"/>
      <c r="N3372" s="11"/>
      <c r="O3372" s="11"/>
      <c r="P3372" s="11"/>
    </row>
    <row r="3373" spans="8:16" x14ac:dyDescent="0.25">
      <c r="H3373" s="12"/>
      <c r="I3373" s="12"/>
      <c r="J3373" s="12"/>
      <c r="K3373" s="12"/>
      <c r="L3373" s="12"/>
      <c r="M3373" s="11"/>
      <c r="N3373" s="11"/>
      <c r="O3373" s="11"/>
      <c r="P3373" s="11"/>
    </row>
    <row r="3374" spans="8:16" x14ac:dyDescent="0.25">
      <c r="H3374" s="12"/>
      <c r="I3374" s="12"/>
      <c r="J3374" s="12"/>
      <c r="K3374" s="12"/>
      <c r="L3374" s="12"/>
      <c r="M3374" s="11"/>
      <c r="N3374" s="11"/>
      <c r="O3374" s="11"/>
      <c r="P3374" s="11"/>
    </row>
    <row r="3375" spans="8:16" x14ac:dyDescent="0.25">
      <c r="H3375" s="12"/>
      <c r="I3375" s="12"/>
      <c r="J3375" s="12"/>
      <c r="K3375" s="12"/>
      <c r="L3375" s="12"/>
      <c r="M3375" s="11"/>
      <c r="N3375" s="11"/>
      <c r="O3375" s="11"/>
      <c r="P3375" s="11"/>
    </row>
    <row r="3376" spans="8:16" x14ac:dyDescent="0.25">
      <c r="H3376" s="12"/>
      <c r="I3376" s="12"/>
      <c r="J3376" s="12"/>
      <c r="K3376" s="12"/>
      <c r="L3376" s="12"/>
      <c r="M3376" s="11"/>
      <c r="N3376" s="11"/>
      <c r="O3376" s="11"/>
      <c r="P3376" s="11"/>
    </row>
    <row r="3377" spans="8:16" x14ac:dyDescent="0.25">
      <c r="H3377" s="12"/>
      <c r="I3377" s="12"/>
      <c r="J3377" s="12"/>
      <c r="K3377" s="12"/>
      <c r="L3377" s="12"/>
      <c r="M3377" s="11"/>
      <c r="N3377" s="11"/>
      <c r="O3377" s="11"/>
      <c r="P3377" s="11"/>
    </row>
    <row r="3378" spans="8:16" x14ac:dyDescent="0.25">
      <c r="H3378" s="12"/>
      <c r="I3378" s="12"/>
      <c r="J3378" s="12"/>
      <c r="K3378" s="12"/>
      <c r="L3378" s="12"/>
      <c r="M3378" s="11"/>
      <c r="N3378" s="11"/>
      <c r="O3378" s="11"/>
      <c r="P3378" s="11"/>
    </row>
    <row r="3379" spans="8:16" x14ac:dyDescent="0.25">
      <c r="H3379" s="12"/>
      <c r="I3379" s="12"/>
      <c r="J3379" s="12"/>
      <c r="K3379" s="12"/>
      <c r="L3379" s="12"/>
      <c r="M3379" s="11"/>
      <c r="N3379" s="11"/>
      <c r="O3379" s="11"/>
      <c r="P3379" s="11"/>
    </row>
    <row r="3380" spans="8:16" x14ac:dyDescent="0.25">
      <c r="H3380" s="12"/>
      <c r="I3380" s="12"/>
      <c r="J3380" s="12"/>
      <c r="K3380" s="12"/>
      <c r="L3380" s="12"/>
      <c r="M3380" s="11"/>
      <c r="N3380" s="11"/>
      <c r="O3380" s="11"/>
      <c r="P3380" s="11"/>
    </row>
    <row r="3381" spans="8:16" x14ac:dyDescent="0.25">
      <c r="H3381" s="12"/>
      <c r="I3381" s="12"/>
      <c r="J3381" s="12"/>
      <c r="K3381" s="12"/>
      <c r="L3381" s="12"/>
      <c r="M3381" s="11"/>
      <c r="N3381" s="11"/>
      <c r="O3381" s="11"/>
      <c r="P3381" s="11"/>
    </row>
    <row r="3382" spans="8:16" x14ac:dyDescent="0.25">
      <c r="H3382" s="12"/>
      <c r="I3382" s="12"/>
      <c r="J3382" s="12"/>
      <c r="K3382" s="12"/>
      <c r="L3382" s="12"/>
      <c r="M3382" s="11"/>
      <c r="N3382" s="11"/>
      <c r="O3382" s="11"/>
      <c r="P3382" s="11"/>
    </row>
    <row r="3383" spans="8:16" x14ac:dyDescent="0.25">
      <c r="H3383" s="12"/>
      <c r="I3383" s="12"/>
      <c r="J3383" s="12"/>
      <c r="K3383" s="12"/>
      <c r="L3383" s="12"/>
      <c r="M3383" s="11"/>
      <c r="N3383" s="11"/>
      <c r="O3383" s="11"/>
      <c r="P3383" s="11"/>
    </row>
    <row r="3384" spans="8:16" x14ac:dyDescent="0.25">
      <c r="H3384" s="12"/>
      <c r="I3384" s="12"/>
      <c r="J3384" s="12"/>
      <c r="K3384" s="12"/>
      <c r="L3384" s="12"/>
      <c r="M3384" s="11"/>
      <c r="N3384" s="11"/>
      <c r="O3384" s="11"/>
      <c r="P3384" s="11"/>
    </row>
    <row r="3385" spans="8:16" x14ac:dyDescent="0.25">
      <c r="H3385" s="12"/>
      <c r="I3385" s="12"/>
      <c r="J3385" s="12"/>
      <c r="K3385" s="12"/>
      <c r="L3385" s="12"/>
      <c r="M3385" s="11"/>
      <c r="N3385" s="11"/>
      <c r="O3385" s="11"/>
      <c r="P3385" s="11"/>
    </row>
    <row r="3386" spans="8:16" x14ac:dyDescent="0.25">
      <c r="H3386" s="12"/>
      <c r="I3386" s="12"/>
      <c r="J3386" s="12"/>
      <c r="K3386" s="12"/>
      <c r="L3386" s="12"/>
      <c r="M3386" s="11"/>
      <c r="N3386" s="11"/>
      <c r="O3386" s="11"/>
      <c r="P3386" s="11"/>
    </row>
    <row r="3387" spans="8:16" x14ac:dyDescent="0.25">
      <c r="H3387" s="12"/>
      <c r="I3387" s="12"/>
      <c r="J3387" s="12"/>
      <c r="K3387" s="12"/>
      <c r="L3387" s="12"/>
      <c r="M3387" s="11"/>
      <c r="N3387" s="11"/>
      <c r="O3387" s="11"/>
      <c r="P3387" s="11"/>
    </row>
    <row r="3388" spans="8:16" x14ac:dyDescent="0.25">
      <c r="H3388" s="12"/>
      <c r="I3388" s="12"/>
      <c r="J3388" s="12"/>
      <c r="K3388" s="12"/>
      <c r="L3388" s="12"/>
      <c r="M3388" s="11"/>
      <c r="N3388" s="11"/>
      <c r="O3388" s="11"/>
      <c r="P3388" s="11"/>
    </row>
    <row r="3389" spans="8:16" x14ac:dyDescent="0.25">
      <c r="H3389" s="12"/>
      <c r="I3389" s="12"/>
      <c r="J3389" s="12"/>
      <c r="K3389" s="12"/>
      <c r="L3389" s="12"/>
      <c r="M3389" s="11"/>
      <c r="N3389" s="11"/>
      <c r="O3389" s="11"/>
      <c r="P3389" s="11"/>
    </row>
    <row r="3390" spans="8:16" x14ac:dyDescent="0.25">
      <c r="H3390" s="12"/>
      <c r="I3390" s="12"/>
      <c r="J3390" s="12"/>
      <c r="K3390" s="12"/>
      <c r="L3390" s="12"/>
      <c r="M3390" s="11"/>
      <c r="N3390" s="11"/>
      <c r="O3390" s="11"/>
      <c r="P3390" s="11"/>
    </row>
    <row r="3391" spans="8:16" x14ac:dyDescent="0.25">
      <c r="H3391" s="12"/>
      <c r="I3391" s="12"/>
      <c r="J3391" s="12"/>
      <c r="K3391" s="12"/>
      <c r="L3391" s="12"/>
      <c r="M3391" s="11"/>
      <c r="N3391" s="11"/>
      <c r="O3391" s="11"/>
      <c r="P3391" s="11"/>
    </row>
    <row r="3392" spans="8:16" x14ac:dyDescent="0.25">
      <c r="H3392" s="12"/>
      <c r="I3392" s="12"/>
      <c r="J3392" s="12"/>
      <c r="K3392" s="12"/>
      <c r="L3392" s="12"/>
      <c r="M3392" s="11"/>
      <c r="N3392" s="11"/>
      <c r="O3392" s="11"/>
      <c r="P3392" s="11"/>
    </row>
    <row r="3393" spans="8:16" x14ac:dyDescent="0.25">
      <c r="H3393" s="12"/>
      <c r="I3393" s="12"/>
      <c r="J3393" s="12"/>
      <c r="K3393" s="12"/>
      <c r="L3393" s="12"/>
      <c r="M3393" s="11"/>
      <c r="N3393" s="11"/>
      <c r="O3393" s="11"/>
      <c r="P3393" s="11"/>
    </row>
    <row r="3394" spans="8:16" x14ac:dyDescent="0.25">
      <c r="H3394" s="12"/>
      <c r="I3394" s="12"/>
      <c r="J3394" s="12"/>
      <c r="K3394" s="12"/>
      <c r="L3394" s="12"/>
      <c r="M3394" s="11"/>
      <c r="N3394" s="11"/>
      <c r="O3394" s="11"/>
      <c r="P3394" s="11"/>
    </row>
    <row r="3395" spans="8:16" x14ac:dyDescent="0.25">
      <c r="H3395" s="12"/>
      <c r="I3395" s="12"/>
      <c r="J3395" s="12"/>
      <c r="K3395" s="12"/>
      <c r="L3395" s="12"/>
      <c r="M3395" s="11"/>
      <c r="N3395" s="11"/>
      <c r="O3395" s="11"/>
      <c r="P3395" s="11"/>
    </row>
    <row r="3396" spans="8:16" x14ac:dyDescent="0.25">
      <c r="H3396" s="12"/>
      <c r="I3396" s="12"/>
      <c r="J3396" s="12"/>
      <c r="K3396" s="12"/>
      <c r="L3396" s="12"/>
      <c r="M3396" s="11"/>
      <c r="N3396" s="11"/>
      <c r="O3396" s="11"/>
      <c r="P3396" s="11"/>
    </row>
    <row r="3397" spans="8:16" x14ac:dyDescent="0.25">
      <c r="H3397" s="12"/>
      <c r="I3397" s="12"/>
      <c r="J3397" s="12"/>
      <c r="K3397" s="12"/>
      <c r="L3397" s="12"/>
      <c r="M3397" s="11"/>
      <c r="N3397" s="11"/>
      <c r="O3397" s="11"/>
      <c r="P3397" s="11"/>
    </row>
    <row r="3398" spans="8:16" x14ac:dyDescent="0.25">
      <c r="H3398" s="12"/>
      <c r="I3398" s="12"/>
      <c r="J3398" s="12"/>
      <c r="K3398" s="12"/>
      <c r="L3398" s="12"/>
      <c r="M3398" s="11"/>
      <c r="N3398" s="11"/>
      <c r="O3398" s="11"/>
      <c r="P3398" s="11"/>
    </row>
    <row r="3399" spans="8:16" x14ac:dyDescent="0.25">
      <c r="H3399" s="12"/>
      <c r="I3399" s="12"/>
      <c r="J3399" s="12"/>
      <c r="K3399" s="12"/>
      <c r="L3399" s="12"/>
      <c r="M3399" s="11"/>
      <c r="N3399" s="11"/>
      <c r="O3399" s="11"/>
      <c r="P3399" s="11"/>
    </row>
    <row r="3400" spans="8:16" x14ac:dyDescent="0.25">
      <c r="H3400" s="12"/>
      <c r="I3400" s="12"/>
      <c r="J3400" s="12"/>
      <c r="K3400" s="12"/>
      <c r="L3400" s="12"/>
      <c r="M3400" s="11"/>
      <c r="N3400" s="11"/>
      <c r="O3400" s="11"/>
      <c r="P3400" s="11"/>
    </row>
    <row r="3401" spans="8:16" x14ac:dyDescent="0.25">
      <c r="H3401" s="12"/>
      <c r="I3401" s="12"/>
      <c r="J3401" s="12"/>
      <c r="K3401" s="12"/>
      <c r="L3401" s="12"/>
      <c r="M3401" s="11"/>
      <c r="N3401" s="11"/>
      <c r="O3401" s="11"/>
      <c r="P3401" s="11"/>
    </row>
    <row r="3402" spans="8:16" x14ac:dyDescent="0.25">
      <c r="H3402" s="12"/>
      <c r="I3402" s="12"/>
      <c r="J3402" s="12"/>
      <c r="K3402" s="12"/>
      <c r="L3402" s="12"/>
      <c r="M3402" s="11"/>
      <c r="N3402" s="11"/>
      <c r="O3402" s="11"/>
      <c r="P3402" s="11"/>
    </row>
    <row r="3403" spans="8:16" x14ac:dyDescent="0.25">
      <c r="H3403" s="12"/>
      <c r="I3403" s="12"/>
      <c r="J3403" s="12"/>
      <c r="K3403" s="12"/>
      <c r="L3403" s="12"/>
      <c r="M3403" s="11"/>
      <c r="N3403" s="11"/>
      <c r="O3403" s="11"/>
      <c r="P3403" s="11"/>
    </row>
    <row r="3404" spans="8:16" x14ac:dyDescent="0.25">
      <c r="H3404" s="12"/>
      <c r="I3404" s="12"/>
      <c r="J3404" s="12"/>
      <c r="K3404" s="12"/>
      <c r="L3404" s="12"/>
      <c r="M3404" s="11"/>
      <c r="N3404" s="11"/>
      <c r="O3404" s="11"/>
      <c r="P3404" s="11"/>
    </row>
    <row r="3405" spans="8:16" x14ac:dyDescent="0.25">
      <c r="H3405" s="12"/>
      <c r="I3405" s="12"/>
      <c r="J3405" s="12"/>
      <c r="K3405" s="12"/>
      <c r="L3405" s="12"/>
      <c r="M3405" s="11"/>
      <c r="N3405" s="11"/>
      <c r="O3405" s="11"/>
      <c r="P3405" s="11"/>
    </row>
    <row r="3406" spans="8:16" x14ac:dyDescent="0.25">
      <c r="H3406" s="12"/>
      <c r="I3406" s="12"/>
      <c r="J3406" s="12"/>
      <c r="K3406" s="12"/>
      <c r="L3406" s="12"/>
      <c r="M3406" s="11"/>
      <c r="N3406" s="11"/>
      <c r="O3406" s="11"/>
      <c r="P3406" s="11"/>
    </row>
    <row r="3407" spans="8:16" x14ac:dyDescent="0.25">
      <c r="H3407" s="12"/>
      <c r="I3407" s="12"/>
      <c r="J3407" s="12"/>
      <c r="K3407" s="12"/>
      <c r="L3407" s="12"/>
      <c r="M3407" s="11"/>
      <c r="N3407" s="11"/>
      <c r="O3407" s="11"/>
      <c r="P3407" s="11"/>
    </row>
    <row r="3408" spans="8:16" x14ac:dyDescent="0.25">
      <c r="H3408" s="12"/>
      <c r="I3408" s="12"/>
      <c r="J3408" s="12"/>
      <c r="K3408" s="12"/>
      <c r="L3408" s="12"/>
      <c r="M3408" s="11"/>
      <c r="N3408" s="11"/>
      <c r="O3408" s="11"/>
      <c r="P3408" s="11"/>
    </row>
    <row r="3409" spans="8:16" x14ac:dyDescent="0.25">
      <c r="H3409" s="12"/>
      <c r="I3409" s="12"/>
      <c r="J3409" s="12"/>
      <c r="K3409" s="12"/>
      <c r="L3409" s="12"/>
      <c r="M3409" s="11"/>
      <c r="N3409" s="11"/>
      <c r="O3409" s="11"/>
      <c r="P3409" s="11"/>
    </row>
    <row r="3410" spans="8:16" x14ac:dyDescent="0.25">
      <c r="H3410" s="12"/>
      <c r="I3410" s="12"/>
      <c r="J3410" s="12"/>
      <c r="K3410" s="12"/>
      <c r="L3410" s="12"/>
      <c r="M3410" s="11"/>
      <c r="N3410" s="11"/>
      <c r="O3410" s="11"/>
      <c r="P3410" s="11"/>
    </row>
    <row r="3411" spans="8:16" x14ac:dyDescent="0.25">
      <c r="H3411" s="12"/>
      <c r="I3411" s="12"/>
      <c r="J3411" s="12"/>
      <c r="K3411" s="12"/>
      <c r="L3411" s="12"/>
      <c r="M3411" s="11"/>
      <c r="N3411" s="11"/>
      <c r="O3411" s="11"/>
      <c r="P3411" s="11"/>
    </row>
    <row r="3412" spans="8:16" x14ac:dyDescent="0.25">
      <c r="H3412" s="12"/>
      <c r="I3412" s="12"/>
      <c r="J3412" s="12"/>
      <c r="K3412" s="12"/>
      <c r="L3412" s="12"/>
      <c r="M3412" s="11"/>
      <c r="N3412" s="11"/>
      <c r="O3412" s="11"/>
      <c r="P3412" s="11"/>
    </row>
    <row r="3413" spans="8:16" x14ac:dyDescent="0.25">
      <c r="H3413" s="12"/>
      <c r="I3413" s="12"/>
      <c r="J3413" s="12"/>
      <c r="K3413" s="12"/>
      <c r="L3413" s="12"/>
      <c r="M3413" s="11"/>
      <c r="N3413" s="11"/>
      <c r="O3413" s="11"/>
      <c r="P3413" s="11"/>
    </row>
    <row r="3414" spans="8:16" x14ac:dyDescent="0.25">
      <c r="H3414" s="12"/>
      <c r="I3414" s="12"/>
      <c r="J3414" s="12"/>
      <c r="K3414" s="12"/>
      <c r="L3414" s="12"/>
      <c r="M3414" s="11"/>
      <c r="N3414" s="11"/>
      <c r="O3414" s="11"/>
      <c r="P3414" s="11"/>
    </row>
    <row r="3415" spans="8:16" x14ac:dyDescent="0.25">
      <c r="H3415" s="12"/>
      <c r="I3415" s="12"/>
      <c r="J3415" s="12"/>
      <c r="K3415" s="12"/>
      <c r="L3415" s="12"/>
      <c r="M3415" s="11"/>
      <c r="N3415" s="11"/>
      <c r="O3415" s="11"/>
      <c r="P3415" s="11"/>
    </row>
    <row r="3416" spans="8:16" x14ac:dyDescent="0.25">
      <c r="H3416" s="12"/>
      <c r="I3416" s="12"/>
      <c r="J3416" s="12"/>
      <c r="K3416" s="12"/>
      <c r="L3416" s="12"/>
      <c r="M3416" s="11"/>
      <c r="N3416" s="11"/>
      <c r="O3416" s="11"/>
      <c r="P3416" s="11"/>
    </row>
    <row r="3417" spans="8:16" x14ac:dyDescent="0.25">
      <c r="H3417" s="12"/>
      <c r="I3417" s="12"/>
      <c r="J3417" s="12"/>
      <c r="K3417" s="12"/>
      <c r="L3417" s="12"/>
      <c r="M3417" s="11"/>
      <c r="N3417" s="11"/>
      <c r="O3417" s="11"/>
      <c r="P3417" s="11"/>
    </row>
    <row r="3418" spans="8:16" x14ac:dyDescent="0.25">
      <c r="H3418" s="12"/>
      <c r="I3418" s="12"/>
      <c r="J3418" s="12"/>
      <c r="K3418" s="12"/>
      <c r="L3418" s="12"/>
      <c r="M3418" s="11"/>
      <c r="N3418" s="11"/>
      <c r="O3418" s="11"/>
      <c r="P3418" s="11"/>
    </row>
    <row r="3419" spans="8:16" x14ac:dyDescent="0.25">
      <c r="H3419" s="12"/>
      <c r="I3419" s="12"/>
      <c r="J3419" s="12"/>
      <c r="K3419" s="12"/>
      <c r="L3419" s="12"/>
      <c r="M3419" s="11"/>
      <c r="N3419" s="11"/>
      <c r="O3419" s="11"/>
      <c r="P3419" s="11"/>
    </row>
    <row r="3420" spans="8:16" x14ac:dyDescent="0.25">
      <c r="H3420" s="12"/>
      <c r="I3420" s="12"/>
      <c r="J3420" s="12"/>
      <c r="K3420" s="12"/>
      <c r="L3420" s="12"/>
      <c r="M3420" s="11"/>
      <c r="N3420" s="11"/>
      <c r="O3420" s="11"/>
      <c r="P3420" s="11"/>
    </row>
    <row r="3421" spans="8:16" x14ac:dyDescent="0.25">
      <c r="H3421" s="12"/>
      <c r="I3421" s="12"/>
      <c r="J3421" s="12"/>
      <c r="K3421" s="12"/>
      <c r="L3421" s="12"/>
      <c r="M3421" s="11"/>
      <c r="N3421" s="11"/>
      <c r="O3421" s="11"/>
      <c r="P3421" s="11"/>
    </row>
    <row r="3422" spans="8:16" x14ac:dyDescent="0.25">
      <c r="H3422" s="12"/>
      <c r="I3422" s="12"/>
      <c r="J3422" s="12"/>
      <c r="K3422" s="12"/>
      <c r="L3422" s="12"/>
      <c r="M3422" s="11"/>
      <c r="N3422" s="11"/>
      <c r="O3422" s="11"/>
      <c r="P3422" s="11"/>
    </row>
    <row r="3423" spans="8:16" x14ac:dyDescent="0.25">
      <c r="H3423" s="12"/>
      <c r="I3423" s="12"/>
      <c r="J3423" s="12"/>
      <c r="K3423" s="12"/>
      <c r="L3423" s="12"/>
      <c r="M3423" s="11"/>
      <c r="N3423" s="11"/>
      <c r="O3423" s="11"/>
      <c r="P3423" s="11"/>
    </row>
    <row r="3424" spans="8:16" x14ac:dyDescent="0.25">
      <c r="H3424" s="12"/>
      <c r="I3424" s="12"/>
      <c r="J3424" s="12"/>
      <c r="K3424" s="12"/>
      <c r="L3424" s="12"/>
      <c r="M3424" s="11"/>
      <c r="N3424" s="11"/>
      <c r="O3424" s="11"/>
      <c r="P3424" s="11"/>
    </row>
    <row r="3425" spans="8:16" x14ac:dyDescent="0.25">
      <c r="H3425" s="12"/>
      <c r="I3425" s="12"/>
      <c r="J3425" s="12"/>
      <c r="K3425" s="12"/>
      <c r="L3425" s="12"/>
      <c r="M3425" s="11"/>
      <c r="N3425" s="11"/>
      <c r="O3425" s="11"/>
      <c r="P3425" s="11"/>
    </row>
    <row r="3426" spans="8:16" x14ac:dyDescent="0.25">
      <c r="H3426" s="12"/>
      <c r="I3426" s="12"/>
      <c r="J3426" s="12"/>
      <c r="K3426" s="12"/>
      <c r="L3426" s="12"/>
      <c r="M3426" s="11"/>
      <c r="N3426" s="11"/>
      <c r="O3426" s="11"/>
      <c r="P3426" s="11"/>
    </row>
    <row r="3427" spans="8:16" x14ac:dyDescent="0.25">
      <c r="H3427" s="12"/>
      <c r="I3427" s="12"/>
      <c r="J3427" s="12"/>
      <c r="K3427" s="12"/>
      <c r="L3427" s="12"/>
      <c r="M3427" s="11"/>
      <c r="N3427" s="11"/>
      <c r="O3427" s="11"/>
      <c r="P3427" s="11"/>
    </row>
    <row r="3428" spans="8:16" x14ac:dyDescent="0.25">
      <c r="H3428" s="12"/>
      <c r="I3428" s="12"/>
      <c r="J3428" s="12"/>
      <c r="K3428" s="12"/>
      <c r="L3428" s="12"/>
      <c r="M3428" s="11"/>
      <c r="N3428" s="11"/>
      <c r="O3428" s="11"/>
      <c r="P3428" s="11"/>
    </row>
    <row r="3429" spans="8:16" x14ac:dyDescent="0.25">
      <c r="H3429" s="12"/>
      <c r="I3429" s="12"/>
      <c r="J3429" s="12"/>
      <c r="K3429" s="12"/>
      <c r="L3429" s="12"/>
      <c r="M3429" s="11"/>
      <c r="N3429" s="11"/>
      <c r="O3429" s="11"/>
      <c r="P3429" s="11"/>
    </row>
    <row r="3430" spans="8:16" x14ac:dyDescent="0.25">
      <c r="H3430" s="12"/>
      <c r="I3430" s="12"/>
      <c r="J3430" s="12"/>
      <c r="K3430" s="12"/>
      <c r="L3430" s="12"/>
      <c r="M3430" s="11"/>
      <c r="N3430" s="11"/>
      <c r="O3430" s="11"/>
      <c r="P3430" s="11"/>
    </row>
    <row r="3431" spans="8:16" x14ac:dyDescent="0.25">
      <c r="H3431" s="12"/>
      <c r="I3431" s="12"/>
      <c r="J3431" s="12"/>
      <c r="K3431" s="12"/>
      <c r="L3431" s="12"/>
      <c r="M3431" s="11"/>
      <c r="N3431" s="11"/>
      <c r="O3431" s="11"/>
      <c r="P3431" s="11"/>
    </row>
    <row r="3432" spans="8:16" x14ac:dyDescent="0.25">
      <c r="H3432" s="12"/>
      <c r="I3432" s="12"/>
      <c r="J3432" s="12"/>
      <c r="K3432" s="12"/>
      <c r="L3432" s="12"/>
      <c r="M3432" s="11"/>
      <c r="N3432" s="11"/>
      <c r="O3432" s="11"/>
      <c r="P3432" s="11"/>
    </row>
    <row r="3433" spans="8:16" x14ac:dyDescent="0.25">
      <c r="H3433" s="12"/>
      <c r="I3433" s="12"/>
      <c r="J3433" s="12"/>
      <c r="K3433" s="12"/>
      <c r="L3433" s="12"/>
      <c r="M3433" s="11"/>
      <c r="N3433" s="11"/>
      <c r="O3433" s="11"/>
      <c r="P3433" s="11"/>
    </row>
    <row r="3434" spans="8:16" x14ac:dyDescent="0.25">
      <c r="H3434" s="12"/>
      <c r="I3434" s="12"/>
      <c r="J3434" s="12"/>
      <c r="K3434" s="12"/>
      <c r="L3434" s="12"/>
      <c r="M3434" s="11"/>
      <c r="N3434" s="11"/>
      <c r="O3434" s="11"/>
      <c r="P3434" s="11"/>
    </row>
    <row r="3435" spans="8:16" x14ac:dyDescent="0.25">
      <c r="H3435" s="12"/>
      <c r="I3435" s="12"/>
      <c r="J3435" s="12"/>
      <c r="K3435" s="12"/>
      <c r="L3435" s="12"/>
      <c r="M3435" s="11"/>
      <c r="N3435" s="11"/>
      <c r="O3435" s="11"/>
      <c r="P3435" s="11"/>
    </row>
    <row r="3436" spans="8:16" x14ac:dyDescent="0.25">
      <c r="H3436" s="12"/>
      <c r="I3436" s="12"/>
      <c r="J3436" s="12"/>
      <c r="K3436" s="12"/>
      <c r="L3436" s="12"/>
      <c r="M3436" s="11"/>
      <c r="N3436" s="11"/>
      <c r="O3436" s="11"/>
      <c r="P3436" s="11"/>
    </row>
    <row r="3437" spans="8:16" x14ac:dyDescent="0.25">
      <c r="H3437" s="12"/>
      <c r="I3437" s="12"/>
      <c r="J3437" s="12"/>
      <c r="K3437" s="12"/>
      <c r="L3437" s="12"/>
      <c r="M3437" s="11"/>
      <c r="N3437" s="11"/>
      <c r="O3437" s="11"/>
      <c r="P3437" s="11"/>
    </row>
    <row r="3438" spans="8:16" x14ac:dyDescent="0.25">
      <c r="H3438" s="12"/>
      <c r="I3438" s="12"/>
      <c r="J3438" s="12"/>
      <c r="K3438" s="12"/>
      <c r="L3438" s="12"/>
      <c r="M3438" s="11"/>
      <c r="N3438" s="11"/>
      <c r="O3438" s="11"/>
      <c r="P3438" s="11"/>
    </row>
    <row r="3439" spans="8:16" x14ac:dyDescent="0.25">
      <c r="H3439" s="12"/>
      <c r="I3439" s="12"/>
      <c r="J3439" s="12"/>
      <c r="K3439" s="12"/>
      <c r="L3439" s="12"/>
      <c r="M3439" s="11"/>
      <c r="N3439" s="11"/>
      <c r="O3439" s="11"/>
      <c r="P3439" s="11"/>
    </row>
    <row r="3440" spans="8:16" x14ac:dyDescent="0.25">
      <c r="H3440" s="12"/>
      <c r="I3440" s="12"/>
      <c r="J3440" s="12"/>
      <c r="K3440" s="12"/>
      <c r="L3440" s="12"/>
      <c r="M3440" s="11"/>
      <c r="N3440" s="11"/>
      <c r="O3440" s="11"/>
      <c r="P3440" s="11"/>
    </row>
    <row r="3441" spans="8:16" x14ac:dyDescent="0.25">
      <c r="H3441" s="12"/>
      <c r="I3441" s="12"/>
      <c r="J3441" s="12"/>
      <c r="K3441" s="12"/>
      <c r="L3441" s="12"/>
      <c r="M3441" s="11"/>
      <c r="N3441" s="11"/>
      <c r="O3441" s="11"/>
      <c r="P3441" s="11"/>
    </row>
    <row r="3442" spans="8:16" x14ac:dyDescent="0.25">
      <c r="H3442" s="12"/>
      <c r="I3442" s="12"/>
      <c r="J3442" s="12"/>
      <c r="K3442" s="12"/>
      <c r="L3442" s="12"/>
      <c r="M3442" s="11"/>
      <c r="N3442" s="11"/>
      <c r="O3442" s="11"/>
      <c r="P3442" s="11"/>
    </row>
    <row r="3443" spans="8:16" x14ac:dyDescent="0.25">
      <c r="H3443" s="12"/>
      <c r="I3443" s="12"/>
      <c r="J3443" s="12"/>
      <c r="K3443" s="12"/>
      <c r="L3443" s="12"/>
      <c r="M3443" s="11"/>
      <c r="N3443" s="11"/>
      <c r="O3443" s="11"/>
      <c r="P3443" s="11"/>
    </row>
    <row r="3444" spans="8:16" x14ac:dyDescent="0.25">
      <c r="H3444" s="12"/>
      <c r="I3444" s="12"/>
      <c r="J3444" s="12"/>
      <c r="K3444" s="12"/>
      <c r="L3444" s="12"/>
      <c r="M3444" s="11"/>
      <c r="N3444" s="11"/>
      <c r="O3444" s="11"/>
      <c r="P3444" s="11"/>
    </row>
    <row r="3445" spans="8:16" x14ac:dyDescent="0.25">
      <c r="H3445" s="12"/>
      <c r="I3445" s="12"/>
      <c r="J3445" s="12"/>
      <c r="K3445" s="12"/>
      <c r="L3445" s="12"/>
      <c r="M3445" s="11"/>
      <c r="N3445" s="11"/>
      <c r="O3445" s="11"/>
      <c r="P3445" s="11"/>
    </row>
    <row r="3446" spans="8:16" x14ac:dyDescent="0.25">
      <c r="H3446" s="12"/>
      <c r="I3446" s="12"/>
      <c r="J3446" s="12"/>
      <c r="K3446" s="12"/>
      <c r="L3446" s="12"/>
      <c r="M3446" s="11"/>
      <c r="N3446" s="11"/>
      <c r="O3446" s="11"/>
      <c r="P3446" s="11"/>
    </row>
    <row r="3447" spans="8:16" x14ac:dyDescent="0.25">
      <c r="H3447" s="12"/>
      <c r="I3447" s="12"/>
      <c r="J3447" s="12"/>
      <c r="K3447" s="12"/>
      <c r="L3447" s="12"/>
      <c r="M3447" s="11"/>
      <c r="N3447" s="11"/>
      <c r="O3447" s="11"/>
      <c r="P3447" s="11"/>
    </row>
    <row r="3448" spans="8:16" x14ac:dyDescent="0.25">
      <c r="H3448" s="12"/>
      <c r="I3448" s="12"/>
      <c r="J3448" s="12"/>
      <c r="K3448" s="12"/>
      <c r="L3448" s="12"/>
      <c r="M3448" s="11"/>
      <c r="N3448" s="11"/>
      <c r="O3448" s="11"/>
      <c r="P3448" s="11"/>
    </row>
    <row r="3449" spans="8:16" x14ac:dyDescent="0.25">
      <c r="H3449" s="12"/>
      <c r="I3449" s="12"/>
      <c r="J3449" s="12"/>
      <c r="K3449" s="12"/>
      <c r="L3449" s="12"/>
      <c r="M3449" s="11"/>
      <c r="N3449" s="11"/>
      <c r="O3449" s="11"/>
      <c r="P3449" s="11"/>
    </row>
    <row r="3450" spans="8:16" x14ac:dyDescent="0.25">
      <c r="H3450" s="12"/>
      <c r="I3450" s="12"/>
      <c r="J3450" s="12"/>
      <c r="K3450" s="12"/>
      <c r="L3450" s="12"/>
      <c r="M3450" s="11"/>
      <c r="N3450" s="11"/>
      <c r="O3450" s="11"/>
      <c r="P3450" s="11"/>
    </row>
    <row r="3451" spans="8:16" x14ac:dyDescent="0.25">
      <c r="H3451" s="12"/>
      <c r="I3451" s="12"/>
      <c r="J3451" s="12"/>
      <c r="K3451" s="12"/>
      <c r="L3451" s="12"/>
      <c r="M3451" s="11"/>
      <c r="N3451" s="11"/>
      <c r="O3451" s="11"/>
      <c r="P3451" s="11"/>
    </row>
    <row r="3452" spans="8:16" x14ac:dyDescent="0.25">
      <c r="H3452" s="12"/>
      <c r="I3452" s="12"/>
      <c r="J3452" s="12"/>
      <c r="K3452" s="12"/>
      <c r="L3452" s="12"/>
      <c r="M3452" s="11"/>
      <c r="N3452" s="11"/>
      <c r="O3452" s="11"/>
      <c r="P3452" s="11"/>
    </row>
    <row r="3453" spans="8:16" x14ac:dyDescent="0.25">
      <c r="H3453" s="12"/>
      <c r="I3453" s="12"/>
      <c r="J3453" s="12"/>
      <c r="K3453" s="12"/>
      <c r="L3453" s="12"/>
      <c r="M3453" s="11"/>
      <c r="N3453" s="11"/>
      <c r="O3453" s="11"/>
      <c r="P3453" s="11"/>
    </row>
    <row r="3454" spans="8:16" x14ac:dyDescent="0.25">
      <c r="H3454" s="12"/>
      <c r="I3454" s="12"/>
      <c r="J3454" s="12"/>
      <c r="K3454" s="12"/>
      <c r="L3454" s="12"/>
      <c r="M3454" s="11"/>
      <c r="N3454" s="11"/>
      <c r="O3454" s="11"/>
      <c r="P3454" s="11"/>
    </row>
    <row r="3455" spans="8:16" x14ac:dyDescent="0.25">
      <c r="H3455" s="12"/>
      <c r="I3455" s="12"/>
      <c r="J3455" s="12"/>
      <c r="K3455" s="12"/>
      <c r="L3455" s="12"/>
      <c r="M3455" s="11"/>
      <c r="N3455" s="11"/>
      <c r="O3455" s="11"/>
      <c r="P3455" s="11"/>
    </row>
    <row r="3456" spans="8:16" x14ac:dyDescent="0.25">
      <c r="H3456" s="12"/>
      <c r="I3456" s="12"/>
      <c r="J3456" s="12"/>
      <c r="K3456" s="12"/>
      <c r="L3456" s="12"/>
      <c r="M3456" s="11"/>
      <c r="N3456" s="11"/>
      <c r="O3456" s="11"/>
      <c r="P3456" s="11"/>
    </row>
    <row r="3457" spans="8:16" x14ac:dyDescent="0.25">
      <c r="H3457" s="12"/>
      <c r="I3457" s="12"/>
      <c r="J3457" s="12"/>
      <c r="K3457" s="12"/>
      <c r="L3457" s="12"/>
      <c r="M3457" s="11"/>
      <c r="N3457" s="11"/>
      <c r="O3457" s="11"/>
      <c r="P3457" s="11"/>
    </row>
    <row r="3458" spans="8:16" x14ac:dyDescent="0.25">
      <c r="H3458" s="12"/>
      <c r="I3458" s="12"/>
      <c r="J3458" s="12"/>
      <c r="K3458" s="12"/>
      <c r="L3458" s="12"/>
      <c r="M3458" s="11"/>
      <c r="N3458" s="11"/>
      <c r="O3458" s="11"/>
      <c r="P3458" s="11"/>
    </row>
    <row r="3459" spans="8:16" x14ac:dyDescent="0.25">
      <c r="H3459" s="12"/>
      <c r="I3459" s="12"/>
      <c r="J3459" s="12"/>
      <c r="K3459" s="12"/>
      <c r="L3459" s="12"/>
      <c r="M3459" s="11"/>
      <c r="N3459" s="11"/>
      <c r="O3459" s="11"/>
      <c r="P3459" s="11"/>
    </row>
    <row r="3460" spans="8:16" x14ac:dyDescent="0.25">
      <c r="H3460" s="12"/>
      <c r="I3460" s="12"/>
      <c r="J3460" s="12"/>
      <c r="K3460" s="12"/>
      <c r="L3460" s="12"/>
      <c r="M3460" s="11"/>
      <c r="N3460" s="11"/>
      <c r="O3460" s="11"/>
      <c r="P3460" s="11"/>
    </row>
    <row r="3461" spans="8:16" x14ac:dyDescent="0.25">
      <c r="H3461" s="12"/>
      <c r="I3461" s="12"/>
      <c r="J3461" s="12"/>
      <c r="K3461" s="12"/>
      <c r="L3461" s="12"/>
      <c r="M3461" s="11"/>
      <c r="N3461" s="11"/>
      <c r="O3461" s="11"/>
      <c r="P3461" s="11"/>
    </row>
    <row r="3462" spans="8:16" x14ac:dyDescent="0.25">
      <c r="H3462" s="12"/>
      <c r="I3462" s="12"/>
      <c r="J3462" s="12"/>
      <c r="K3462" s="12"/>
      <c r="L3462" s="12"/>
      <c r="M3462" s="11"/>
      <c r="N3462" s="11"/>
      <c r="O3462" s="11"/>
      <c r="P3462" s="11"/>
    </row>
    <row r="3463" spans="8:16" x14ac:dyDescent="0.25">
      <c r="H3463" s="12"/>
      <c r="I3463" s="12"/>
      <c r="J3463" s="12"/>
      <c r="K3463" s="12"/>
      <c r="L3463" s="12"/>
      <c r="M3463" s="11"/>
      <c r="N3463" s="11"/>
      <c r="O3463" s="11"/>
      <c r="P3463" s="11"/>
    </row>
    <row r="3464" spans="8:16" x14ac:dyDescent="0.25">
      <c r="H3464" s="12"/>
      <c r="I3464" s="12"/>
      <c r="J3464" s="12"/>
      <c r="K3464" s="12"/>
      <c r="L3464" s="12"/>
      <c r="M3464" s="11"/>
      <c r="N3464" s="11"/>
      <c r="O3464" s="11"/>
      <c r="P3464" s="11"/>
    </row>
    <row r="3465" spans="8:16" x14ac:dyDescent="0.25">
      <c r="H3465" s="12"/>
      <c r="I3465" s="12"/>
      <c r="J3465" s="12"/>
      <c r="K3465" s="12"/>
      <c r="L3465" s="12"/>
      <c r="M3465" s="11"/>
      <c r="N3465" s="11"/>
      <c r="O3465" s="11"/>
      <c r="P3465" s="11"/>
    </row>
    <row r="3466" spans="8:16" x14ac:dyDescent="0.25">
      <c r="H3466" s="12"/>
      <c r="I3466" s="12"/>
      <c r="J3466" s="12"/>
      <c r="K3466" s="12"/>
      <c r="L3466" s="12"/>
      <c r="M3466" s="11"/>
      <c r="N3466" s="11"/>
      <c r="O3466" s="11"/>
      <c r="P3466" s="11"/>
    </row>
    <row r="3467" spans="8:16" x14ac:dyDescent="0.25">
      <c r="H3467" s="12"/>
      <c r="I3467" s="12"/>
      <c r="J3467" s="12"/>
      <c r="K3467" s="12"/>
      <c r="L3467" s="12"/>
      <c r="M3467" s="11"/>
      <c r="N3467" s="11"/>
      <c r="O3467" s="11"/>
      <c r="P3467" s="11"/>
    </row>
    <row r="3468" spans="8:16" x14ac:dyDescent="0.25">
      <c r="H3468" s="12"/>
      <c r="I3468" s="12"/>
      <c r="J3468" s="12"/>
      <c r="K3468" s="12"/>
      <c r="L3468" s="12"/>
      <c r="M3468" s="11"/>
      <c r="N3468" s="11"/>
      <c r="O3468" s="11"/>
      <c r="P3468" s="11"/>
    </row>
    <row r="3469" spans="8:16" x14ac:dyDescent="0.25">
      <c r="H3469" s="12"/>
      <c r="I3469" s="12"/>
      <c r="J3469" s="12"/>
      <c r="K3469" s="12"/>
      <c r="L3469" s="12"/>
      <c r="M3469" s="11"/>
      <c r="N3469" s="11"/>
      <c r="O3469" s="11"/>
      <c r="P3469" s="11"/>
    </row>
    <row r="3470" spans="8:16" x14ac:dyDescent="0.25">
      <c r="H3470" s="12"/>
      <c r="I3470" s="12"/>
      <c r="J3470" s="12"/>
      <c r="K3470" s="12"/>
      <c r="L3470" s="12"/>
      <c r="M3470" s="11"/>
      <c r="N3470" s="11"/>
      <c r="O3470" s="11"/>
      <c r="P3470" s="11"/>
    </row>
    <row r="3471" spans="8:16" x14ac:dyDescent="0.25">
      <c r="H3471" s="12"/>
      <c r="I3471" s="12"/>
      <c r="J3471" s="12"/>
      <c r="K3471" s="12"/>
      <c r="L3471" s="12"/>
      <c r="M3471" s="11"/>
      <c r="N3471" s="11"/>
      <c r="O3471" s="11"/>
      <c r="P3471" s="11"/>
    </row>
    <row r="3472" spans="8:16" x14ac:dyDescent="0.25">
      <c r="H3472" s="12"/>
      <c r="I3472" s="12"/>
      <c r="J3472" s="12"/>
      <c r="K3472" s="12"/>
      <c r="L3472" s="12"/>
      <c r="M3472" s="11"/>
      <c r="N3472" s="11"/>
      <c r="O3472" s="11"/>
      <c r="P3472" s="11"/>
    </row>
    <row r="3473" spans="8:16" x14ac:dyDescent="0.25">
      <c r="H3473" s="12"/>
      <c r="I3473" s="12"/>
      <c r="J3473" s="12"/>
      <c r="K3473" s="12"/>
      <c r="L3473" s="12"/>
      <c r="M3473" s="11"/>
      <c r="N3473" s="11"/>
      <c r="O3473" s="11"/>
      <c r="P3473" s="11"/>
    </row>
    <row r="3474" spans="8:16" x14ac:dyDescent="0.25">
      <c r="H3474" s="12"/>
      <c r="I3474" s="12"/>
      <c r="J3474" s="12"/>
      <c r="K3474" s="12"/>
      <c r="L3474" s="12"/>
      <c r="M3474" s="11"/>
      <c r="N3474" s="11"/>
      <c r="O3474" s="11"/>
      <c r="P3474" s="11"/>
    </row>
    <row r="3475" spans="8:16" x14ac:dyDescent="0.25">
      <c r="H3475" s="12"/>
      <c r="I3475" s="12"/>
      <c r="J3475" s="12"/>
      <c r="K3475" s="12"/>
      <c r="L3475" s="12"/>
      <c r="M3475" s="11"/>
      <c r="N3475" s="11"/>
      <c r="O3475" s="11"/>
      <c r="P3475" s="11"/>
    </row>
    <row r="3476" spans="8:16" x14ac:dyDescent="0.25">
      <c r="H3476" s="12"/>
      <c r="I3476" s="12"/>
      <c r="J3476" s="12"/>
      <c r="K3476" s="12"/>
      <c r="L3476" s="12"/>
      <c r="M3476" s="11"/>
      <c r="N3476" s="11"/>
      <c r="O3476" s="11"/>
      <c r="P3476" s="11"/>
    </row>
    <row r="3477" spans="8:16" x14ac:dyDescent="0.25">
      <c r="H3477" s="12"/>
      <c r="I3477" s="12"/>
      <c r="J3477" s="12"/>
      <c r="K3477" s="12"/>
      <c r="L3477" s="12"/>
      <c r="M3477" s="11"/>
      <c r="N3477" s="11"/>
      <c r="O3477" s="11"/>
      <c r="P3477" s="11"/>
    </row>
    <row r="3478" spans="8:16" x14ac:dyDescent="0.25">
      <c r="H3478" s="12"/>
      <c r="I3478" s="12"/>
      <c r="J3478" s="12"/>
      <c r="K3478" s="12"/>
      <c r="L3478" s="12"/>
      <c r="M3478" s="11"/>
      <c r="N3478" s="11"/>
      <c r="O3478" s="11"/>
      <c r="P3478" s="11"/>
    </row>
    <row r="3479" spans="8:16" x14ac:dyDescent="0.25">
      <c r="H3479" s="12"/>
      <c r="I3479" s="12"/>
      <c r="J3479" s="12"/>
      <c r="K3479" s="12"/>
      <c r="L3479" s="12"/>
      <c r="M3479" s="11"/>
      <c r="N3479" s="11"/>
      <c r="O3479" s="11"/>
      <c r="P3479" s="11"/>
    </row>
    <row r="3480" spans="8:16" x14ac:dyDescent="0.25">
      <c r="H3480" s="12"/>
      <c r="I3480" s="12"/>
      <c r="J3480" s="12"/>
      <c r="K3480" s="12"/>
      <c r="L3480" s="12"/>
      <c r="M3480" s="11"/>
      <c r="N3480" s="11"/>
      <c r="O3480" s="11"/>
      <c r="P3480" s="11"/>
    </row>
    <row r="3481" spans="8:16" x14ac:dyDescent="0.25">
      <c r="H3481" s="12"/>
      <c r="I3481" s="12"/>
      <c r="J3481" s="12"/>
      <c r="K3481" s="12"/>
      <c r="L3481" s="12"/>
      <c r="M3481" s="11"/>
      <c r="N3481" s="11"/>
      <c r="O3481" s="11"/>
      <c r="P3481" s="11"/>
    </row>
    <row r="3482" spans="8:16" x14ac:dyDescent="0.25">
      <c r="H3482" s="12"/>
      <c r="I3482" s="12"/>
      <c r="J3482" s="12"/>
      <c r="K3482" s="12"/>
      <c r="L3482" s="12"/>
      <c r="M3482" s="11"/>
      <c r="N3482" s="11"/>
      <c r="O3482" s="11"/>
      <c r="P3482" s="11"/>
    </row>
    <row r="3483" spans="8:16" x14ac:dyDescent="0.25">
      <c r="H3483" s="12"/>
      <c r="I3483" s="12"/>
      <c r="J3483" s="12"/>
      <c r="K3483" s="12"/>
      <c r="L3483" s="12"/>
      <c r="M3483" s="11"/>
      <c r="N3483" s="11"/>
      <c r="O3483" s="11"/>
      <c r="P3483" s="11"/>
    </row>
    <row r="3484" spans="8:16" x14ac:dyDescent="0.25">
      <c r="H3484" s="12"/>
      <c r="I3484" s="12"/>
      <c r="J3484" s="12"/>
      <c r="K3484" s="12"/>
      <c r="L3484" s="12"/>
      <c r="M3484" s="11"/>
      <c r="N3484" s="11"/>
      <c r="O3484" s="11"/>
      <c r="P3484" s="11"/>
    </row>
    <row r="3485" spans="8:16" x14ac:dyDescent="0.25">
      <c r="H3485" s="12"/>
      <c r="I3485" s="12"/>
      <c r="J3485" s="12"/>
      <c r="K3485" s="12"/>
      <c r="L3485" s="12"/>
      <c r="M3485" s="11"/>
      <c r="N3485" s="11"/>
      <c r="O3485" s="11"/>
      <c r="P3485" s="11"/>
    </row>
    <row r="3486" spans="8:16" x14ac:dyDescent="0.25">
      <c r="H3486" s="12"/>
      <c r="I3486" s="12"/>
      <c r="J3486" s="12"/>
      <c r="K3486" s="12"/>
      <c r="L3486" s="12"/>
      <c r="M3486" s="11"/>
      <c r="N3486" s="11"/>
      <c r="O3486" s="11"/>
      <c r="P3486" s="11"/>
    </row>
    <row r="3487" spans="8:16" x14ac:dyDescent="0.25">
      <c r="H3487" s="12"/>
      <c r="I3487" s="12"/>
      <c r="J3487" s="12"/>
      <c r="K3487" s="12"/>
      <c r="L3487" s="12"/>
      <c r="M3487" s="11"/>
      <c r="N3487" s="11"/>
      <c r="O3487" s="11"/>
      <c r="P3487" s="11"/>
    </row>
    <row r="3488" spans="8:16" x14ac:dyDescent="0.25">
      <c r="H3488" s="12"/>
      <c r="I3488" s="12"/>
      <c r="J3488" s="12"/>
      <c r="K3488" s="12"/>
      <c r="L3488" s="12"/>
      <c r="M3488" s="11"/>
      <c r="N3488" s="11"/>
      <c r="O3488" s="11"/>
      <c r="P3488" s="11"/>
    </row>
    <row r="3489" spans="8:16" x14ac:dyDescent="0.25">
      <c r="H3489" s="12"/>
      <c r="I3489" s="12"/>
      <c r="J3489" s="12"/>
      <c r="K3489" s="12"/>
      <c r="L3489" s="12"/>
      <c r="M3489" s="11"/>
      <c r="N3489" s="11"/>
      <c r="O3489" s="11"/>
      <c r="P3489" s="11"/>
    </row>
    <row r="3490" spans="8:16" x14ac:dyDescent="0.25">
      <c r="H3490" s="12"/>
      <c r="I3490" s="12"/>
      <c r="J3490" s="12"/>
      <c r="K3490" s="12"/>
      <c r="L3490" s="12"/>
      <c r="M3490" s="11"/>
      <c r="N3490" s="11"/>
      <c r="O3490" s="11"/>
      <c r="P3490" s="11"/>
    </row>
    <row r="3491" spans="8:16" x14ac:dyDescent="0.25">
      <c r="H3491" s="12"/>
      <c r="I3491" s="12"/>
      <c r="J3491" s="12"/>
      <c r="K3491" s="12"/>
      <c r="L3491" s="12"/>
      <c r="M3491" s="11"/>
      <c r="N3491" s="11"/>
      <c r="O3491" s="11"/>
      <c r="P3491" s="11"/>
    </row>
    <row r="3492" spans="8:16" x14ac:dyDescent="0.25">
      <c r="H3492" s="12"/>
      <c r="I3492" s="12"/>
      <c r="J3492" s="12"/>
      <c r="K3492" s="12"/>
      <c r="L3492" s="12"/>
      <c r="M3492" s="11"/>
      <c r="N3492" s="11"/>
      <c r="O3492" s="11"/>
      <c r="P3492" s="11"/>
    </row>
    <row r="3493" spans="8:16" x14ac:dyDescent="0.25">
      <c r="H3493" s="12"/>
      <c r="I3493" s="12"/>
      <c r="J3493" s="12"/>
      <c r="K3493" s="12"/>
      <c r="L3493" s="12"/>
      <c r="M3493" s="11"/>
      <c r="N3493" s="11"/>
      <c r="O3493" s="11"/>
      <c r="P3493" s="11"/>
    </row>
    <row r="3494" spans="8:16" x14ac:dyDescent="0.25">
      <c r="H3494" s="12"/>
      <c r="I3494" s="12"/>
      <c r="J3494" s="12"/>
      <c r="K3494" s="12"/>
      <c r="L3494" s="12"/>
      <c r="M3494" s="11"/>
      <c r="N3494" s="11"/>
      <c r="O3494" s="11"/>
      <c r="P3494" s="11"/>
    </row>
    <row r="3495" spans="8:16" x14ac:dyDescent="0.25">
      <c r="H3495" s="12"/>
      <c r="I3495" s="12"/>
      <c r="J3495" s="12"/>
      <c r="K3495" s="12"/>
      <c r="L3495" s="12"/>
      <c r="M3495" s="11"/>
      <c r="N3495" s="11"/>
      <c r="O3495" s="11"/>
      <c r="P3495" s="11"/>
    </row>
    <row r="3496" spans="8:16" x14ac:dyDescent="0.25">
      <c r="H3496" s="12"/>
      <c r="I3496" s="12"/>
      <c r="J3496" s="12"/>
      <c r="K3496" s="12"/>
      <c r="L3496" s="12"/>
      <c r="M3496" s="11"/>
      <c r="N3496" s="11"/>
      <c r="O3496" s="11"/>
      <c r="P3496" s="11"/>
    </row>
    <row r="3497" spans="8:16" x14ac:dyDescent="0.25">
      <c r="H3497" s="12"/>
      <c r="I3497" s="12"/>
      <c r="J3497" s="12"/>
      <c r="K3497" s="12"/>
      <c r="L3497" s="12"/>
      <c r="M3497" s="11"/>
      <c r="N3497" s="11"/>
      <c r="O3497" s="11"/>
      <c r="P3497" s="11"/>
    </row>
    <row r="3498" spans="8:16" x14ac:dyDescent="0.25">
      <c r="H3498" s="12"/>
      <c r="I3498" s="12"/>
      <c r="J3498" s="12"/>
      <c r="K3498" s="12"/>
      <c r="L3498" s="12"/>
      <c r="M3498" s="11"/>
      <c r="N3498" s="11"/>
      <c r="O3498" s="11"/>
      <c r="P3498" s="11"/>
    </row>
    <row r="3499" spans="8:16" x14ac:dyDescent="0.25">
      <c r="H3499" s="12"/>
      <c r="I3499" s="12"/>
      <c r="J3499" s="12"/>
      <c r="K3499" s="12"/>
      <c r="L3499" s="12"/>
      <c r="M3499" s="11"/>
      <c r="N3499" s="11"/>
      <c r="O3499" s="11"/>
      <c r="P3499" s="11"/>
    </row>
    <row r="3500" spans="8:16" x14ac:dyDescent="0.25">
      <c r="H3500" s="12"/>
      <c r="I3500" s="12"/>
      <c r="J3500" s="12"/>
      <c r="K3500" s="12"/>
      <c r="L3500" s="12"/>
      <c r="M3500" s="11"/>
      <c r="N3500" s="11"/>
      <c r="O3500" s="11"/>
      <c r="P3500" s="11"/>
    </row>
    <row r="3501" spans="8:16" x14ac:dyDescent="0.25">
      <c r="H3501" s="12"/>
      <c r="I3501" s="12"/>
      <c r="J3501" s="12"/>
      <c r="K3501" s="12"/>
      <c r="L3501" s="12"/>
      <c r="M3501" s="11"/>
      <c r="N3501" s="11"/>
      <c r="O3501" s="11"/>
      <c r="P3501" s="11"/>
    </row>
    <row r="3502" spans="8:16" x14ac:dyDescent="0.25">
      <c r="H3502" s="12"/>
      <c r="I3502" s="12"/>
      <c r="J3502" s="12"/>
      <c r="K3502" s="12"/>
      <c r="L3502" s="12"/>
      <c r="M3502" s="11"/>
      <c r="N3502" s="11"/>
      <c r="O3502" s="11"/>
      <c r="P3502" s="11"/>
    </row>
    <row r="3503" spans="8:16" x14ac:dyDescent="0.25">
      <c r="H3503" s="12"/>
      <c r="I3503" s="12"/>
      <c r="J3503" s="12"/>
      <c r="K3503" s="12"/>
      <c r="L3503" s="12"/>
      <c r="M3503" s="11"/>
      <c r="N3503" s="11"/>
      <c r="O3503" s="11"/>
      <c r="P3503" s="11"/>
    </row>
    <row r="3504" spans="8:16" x14ac:dyDescent="0.25">
      <c r="H3504" s="12"/>
      <c r="I3504" s="12"/>
      <c r="J3504" s="12"/>
      <c r="K3504" s="12"/>
      <c r="L3504" s="12"/>
      <c r="M3504" s="11"/>
      <c r="N3504" s="11"/>
      <c r="O3504" s="11"/>
      <c r="P3504" s="11"/>
    </row>
    <row r="3505" spans="8:16" x14ac:dyDescent="0.25">
      <c r="H3505" s="12"/>
      <c r="I3505" s="12"/>
      <c r="J3505" s="12"/>
      <c r="K3505" s="12"/>
      <c r="L3505" s="12"/>
      <c r="M3505" s="11"/>
      <c r="N3505" s="11"/>
      <c r="O3505" s="11"/>
      <c r="P3505" s="11"/>
    </row>
    <row r="3506" spans="8:16" x14ac:dyDescent="0.25">
      <c r="H3506" s="12"/>
      <c r="I3506" s="12"/>
      <c r="J3506" s="12"/>
      <c r="K3506" s="12"/>
      <c r="L3506" s="12"/>
      <c r="M3506" s="11"/>
      <c r="N3506" s="11"/>
      <c r="O3506" s="11"/>
      <c r="P3506" s="11"/>
    </row>
    <row r="3507" spans="8:16" x14ac:dyDescent="0.25">
      <c r="H3507" s="12"/>
      <c r="I3507" s="12"/>
      <c r="J3507" s="12"/>
      <c r="K3507" s="12"/>
      <c r="L3507" s="12"/>
      <c r="M3507" s="11"/>
      <c r="N3507" s="11"/>
      <c r="O3507" s="11"/>
      <c r="P3507" s="11"/>
    </row>
    <row r="3508" spans="8:16" x14ac:dyDescent="0.25">
      <c r="H3508" s="12"/>
      <c r="I3508" s="12"/>
      <c r="J3508" s="12"/>
      <c r="K3508" s="12"/>
      <c r="L3508" s="12"/>
      <c r="M3508" s="11"/>
      <c r="N3508" s="11"/>
      <c r="O3508" s="11"/>
      <c r="P3508" s="11"/>
    </row>
    <row r="3509" spans="8:16" x14ac:dyDescent="0.25">
      <c r="H3509" s="12"/>
      <c r="I3509" s="12"/>
      <c r="J3509" s="12"/>
      <c r="K3509" s="12"/>
      <c r="L3509" s="12"/>
      <c r="M3509" s="11"/>
      <c r="N3509" s="11"/>
      <c r="O3509" s="11"/>
      <c r="P3509" s="11"/>
    </row>
    <row r="3510" spans="8:16" x14ac:dyDescent="0.25">
      <c r="H3510" s="12"/>
      <c r="I3510" s="12"/>
      <c r="J3510" s="12"/>
      <c r="K3510" s="12"/>
      <c r="L3510" s="12"/>
      <c r="M3510" s="11"/>
      <c r="N3510" s="11"/>
      <c r="O3510" s="11"/>
      <c r="P3510" s="11"/>
    </row>
    <row r="3511" spans="8:16" x14ac:dyDescent="0.25">
      <c r="H3511" s="12"/>
      <c r="I3511" s="12"/>
      <c r="J3511" s="12"/>
      <c r="K3511" s="12"/>
      <c r="L3511" s="12"/>
      <c r="M3511" s="11"/>
      <c r="N3511" s="11"/>
      <c r="O3511" s="11"/>
      <c r="P3511" s="11"/>
    </row>
    <row r="3512" spans="8:16" x14ac:dyDescent="0.25">
      <c r="H3512" s="12"/>
      <c r="I3512" s="12"/>
      <c r="J3512" s="12"/>
      <c r="K3512" s="12"/>
      <c r="L3512" s="12"/>
      <c r="M3512" s="11"/>
      <c r="N3512" s="11"/>
      <c r="O3512" s="11"/>
      <c r="P3512" s="11"/>
    </row>
    <row r="3513" spans="8:16" x14ac:dyDescent="0.25">
      <c r="H3513" s="12"/>
      <c r="I3513" s="12"/>
      <c r="J3513" s="12"/>
      <c r="K3513" s="12"/>
      <c r="L3513" s="12"/>
      <c r="M3513" s="11"/>
      <c r="N3513" s="11"/>
      <c r="O3513" s="11"/>
      <c r="P3513" s="11"/>
    </row>
    <row r="3514" spans="8:16" x14ac:dyDescent="0.25">
      <c r="H3514" s="12"/>
      <c r="I3514" s="12"/>
      <c r="J3514" s="12"/>
      <c r="K3514" s="12"/>
      <c r="L3514" s="12"/>
      <c r="M3514" s="11"/>
      <c r="N3514" s="11"/>
      <c r="O3514" s="11"/>
      <c r="P3514" s="11"/>
    </row>
    <row r="3515" spans="8:16" x14ac:dyDescent="0.25">
      <c r="H3515" s="12"/>
      <c r="I3515" s="12"/>
      <c r="J3515" s="12"/>
      <c r="K3515" s="12"/>
      <c r="L3515" s="12"/>
      <c r="M3515" s="11"/>
      <c r="N3515" s="11"/>
      <c r="O3515" s="11"/>
      <c r="P3515" s="11"/>
    </row>
    <row r="3516" spans="8:16" x14ac:dyDescent="0.25">
      <c r="H3516" s="12"/>
      <c r="I3516" s="12"/>
      <c r="J3516" s="12"/>
      <c r="K3516" s="12"/>
      <c r="L3516" s="12"/>
      <c r="M3516" s="11"/>
      <c r="N3516" s="11"/>
      <c r="O3516" s="11"/>
      <c r="P3516" s="11"/>
    </row>
    <row r="3517" spans="8:16" x14ac:dyDescent="0.25">
      <c r="H3517" s="12"/>
      <c r="I3517" s="12"/>
      <c r="J3517" s="12"/>
      <c r="K3517" s="12"/>
      <c r="L3517" s="12"/>
      <c r="M3517" s="11"/>
      <c r="N3517" s="11"/>
      <c r="O3517" s="11"/>
      <c r="P3517" s="11"/>
    </row>
    <row r="3518" spans="8:16" x14ac:dyDescent="0.25">
      <c r="H3518" s="12"/>
      <c r="I3518" s="12"/>
      <c r="J3518" s="12"/>
      <c r="K3518" s="12"/>
      <c r="L3518" s="12"/>
      <c r="M3518" s="11"/>
      <c r="N3518" s="11"/>
      <c r="O3518" s="11"/>
      <c r="P3518" s="11"/>
    </row>
    <row r="3519" spans="8:16" x14ac:dyDescent="0.25">
      <c r="H3519" s="12"/>
      <c r="I3519" s="12"/>
      <c r="J3519" s="12"/>
      <c r="K3519" s="12"/>
      <c r="L3519" s="12"/>
      <c r="M3519" s="11"/>
      <c r="N3519" s="11"/>
      <c r="O3519" s="11"/>
      <c r="P3519" s="11"/>
    </row>
    <row r="3520" spans="8:16" x14ac:dyDescent="0.25">
      <c r="H3520" s="12"/>
      <c r="I3520" s="12"/>
      <c r="J3520" s="12"/>
      <c r="K3520" s="12"/>
      <c r="L3520" s="12"/>
      <c r="M3520" s="11"/>
      <c r="N3520" s="11"/>
      <c r="O3520" s="11"/>
      <c r="P3520" s="11"/>
    </row>
    <row r="3521" spans="8:16" x14ac:dyDescent="0.25">
      <c r="H3521" s="12"/>
      <c r="I3521" s="12"/>
      <c r="J3521" s="12"/>
      <c r="K3521" s="12"/>
      <c r="L3521" s="12"/>
      <c r="M3521" s="11"/>
      <c r="N3521" s="11"/>
      <c r="O3521" s="11"/>
      <c r="P3521" s="11"/>
    </row>
    <row r="3522" spans="8:16" x14ac:dyDescent="0.25">
      <c r="H3522" s="12"/>
      <c r="I3522" s="12"/>
      <c r="J3522" s="12"/>
      <c r="K3522" s="12"/>
      <c r="L3522" s="12"/>
      <c r="M3522" s="11"/>
      <c r="N3522" s="11"/>
      <c r="O3522" s="11"/>
      <c r="P3522" s="11"/>
    </row>
    <row r="3523" spans="8:16" x14ac:dyDescent="0.25">
      <c r="H3523" s="12"/>
      <c r="I3523" s="12"/>
      <c r="J3523" s="12"/>
      <c r="K3523" s="12"/>
      <c r="L3523" s="12"/>
      <c r="M3523" s="11"/>
      <c r="N3523" s="11"/>
      <c r="O3523" s="11"/>
      <c r="P3523" s="11"/>
    </row>
    <row r="3524" spans="8:16" x14ac:dyDescent="0.25">
      <c r="H3524" s="12"/>
      <c r="I3524" s="12"/>
      <c r="J3524" s="12"/>
      <c r="K3524" s="12"/>
      <c r="L3524" s="12"/>
      <c r="M3524" s="11"/>
      <c r="N3524" s="11"/>
      <c r="O3524" s="11"/>
      <c r="P3524" s="11"/>
    </row>
    <row r="3525" spans="8:16" x14ac:dyDescent="0.25">
      <c r="H3525" s="12"/>
      <c r="I3525" s="12"/>
      <c r="J3525" s="12"/>
      <c r="K3525" s="12"/>
      <c r="L3525" s="12"/>
      <c r="M3525" s="11"/>
      <c r="N3525" s="11"/>
      <c r="O3525" s="11"/>
      <c r="P3525" s="11"/>
    </row>
    <row r="3526" spans="8:16" x14ac:dyDescent="0.25">
      <c r="H3526" s="12"/>
      <c r="I3526" s="12"/>
      <c r="J3526" s="12"/>
      <c r="K3526" s="12"/>
      <c r="L3526" s="12"/>
      <c r="M3526" s="11"/>
      <c r="N3526" s="11"/>
      <c r="O3526" s="11"/>
      <c r="P3526" s="11"/>
    </row>
    <row r="3527" spans="8:16" x14ac:dyDescent="0.25">
      <c r="H3527" s="12"/>
      <c r="I3527" s="12"/>
      <c r="J3527" s="12"/>
      <c r="K3527" s="12"/>
      <c r="L3527" s="12"/>
      <c r="M3527" s="11"/>
      <c r="N3527" s="11"/>
      <c r="O3527" s="11"/>
      <c r="P3527" s="11"/>
    </row>
    <row r="3528" spans="8:16" x14ac:dyDescent="0.25">
      <c r="H3528" s="12"/>
      <c r="I3528" s="12"/>
      <c r="J3528" s="12"/>
      <c r="K3528" s="12"/>
      <c r="L3528" s="12"/>
      <c r="M3528" s="11"/>
      <c r="N3528" s="11"/>
      <c r="O3528" s="11"/>
      <c r="P3528" s="11"/>
    </row>
    <row r="3529" spans="8:16" x14ac:dyDescent="0.25">
      <c r="H3529" s="12"/>
      <c r="I3529" s="12"/>
      <c r="J3529" s="12"/>
      <c r="K3529" s="12"/>
      <c r="L3529" s="12"/>
      <c r="M3529" s="11"/>
      <c r="N3529" s="11"/>
      <c r="O3529" s="11"/>
      <c r="P3529" s="11"/>
    </row>
    <row r="3530" spans="8:16" x14ac:dyDescent="0.25">
      <c r="H3530" s="12"/>
      <c r="I3530" s="12"/>
      <c r="J3530" s="12"/>
      <c r="K3530" s="12"/>
      <c r="L3530" s="12"/>
      <c r="M3530" s="11"/>
      <c r="N3530" s="11"/>
      <c r="O3530" s="11"/>
      <c r="P3530" s="11"/>
    </row>
    <row r="3531" spans="8:16" x14ac:dyDescent="0.25">
      <c r="H3531" s="12"/>
      <c r="I3531" s="12"/>
      <c r="J3531" s="12"/>
      <c r="K3531" s="12"/>
      <c r="L3531" s="12"/>
      <c r="M3531" s="11"/>
      <c r="N3531" s="11"/>
      <c r="O3531" s="11"/>
      <c r="P3531" s="11"/>
    </row>
    <row r="3532" spans="8:16" x14ac:dyDescent="0.25">
      <c r="H3532" s="12"/>
      <c r="I3532" s="12"/>
      <c r="J3532" s="12"/>
      <c r="K3532" s="12"/>
      <c r="L3532" s="12"/>
      <c r="M3532" s="11"/>
      <c r="N3532" s="11"/>
      <c r="O3532" s="11"/>
      <c r="P3532" s="11"/>
    </row>
    <row r="3533" spans="8:16" x14ac:dyDescent="0.25">
      <c r="H3533" s="12"/>
      <c r="I3533" s="12"/>
      <c r="J3533" s="12"/>
      <c r="K3533" s="12"/>
      <c r="L3533" s="12"/>
      <c r="M3533" s="11"/>
      <c r="N3533" s="11"/>
      <c r="O3533" s="11"/>
      <c r="P3533" s="11"/>
    </row>
    <row r="3534" spans="8:16" x14ac:dyDescent="0.25">
      <c r="H3534" s="12"/>
      <c r="I3534" s="12"/>
      <c r="J3534" s="12"/>
      <c r="K3534" s="12"/>
      <c r="L3534" s="12"/>
      <c r="M3534" s="11"/>
      <c r="N3534" s="11"/>
      <c r="O3534" s="11"/>
      <c r="P3534" s="11"/>
    </row>
    <row r="3535" spans="8:16" x14ac:dyDescent="0.25">
      <c r="H3535" s="12"/>
      <c r="I3535" s="12"/>
      <c r="J3535" s="12"/>
      <c r="K3535" s="12"/>
      <c r="L3535" s="12"/>
      <c r="M3535" s="11"/>
      <c r="N3535" s="11"/>
      <c r="O3535" s="11"/>
      <c r="P3535" s="11"/>
    </row>
    <row r="3536" spans="8:16" x14ac:dyDescent="0.25">
      <c r="H3536" s="12"/>
      <c r="I3536" s="12"/>
      <c r="J3536" s="12"/>
      <c r="K3536" s="12"/>
      <c r="L3536" s="12"/>
      <c r="M3536" s="11"/>
      <c r="N3536" s="11"/>
      <c r="O3536" s="11"/>
      <c r="P3536" s="11"/>
    </row>
    <row r="3537" spans="8:16" x14ac:dyDescent="0.25">
      <c r="H3537" s="12"/>
      <c r="I3537" s="12"/>
      <c r="J3537" s="12"/>
      <c r="K3537" s="12"/>
      <c r="L3537" s="12"/>
      <c r="M3537" s="11"/>
      <c r="N3537" s="11"/>
      <c r="O3537" s="11"/>
      <c r="P3537" s="11"/>
    </row>
    <row r="3538" spans="8:16" x14ac:dyDescent="0.25">
      <c r="H3538" s="12"/>
      <c r="I3538" s="12"/>
      <c r="J3538" s="12"/>
      <c r="K3538" s="12"/>
      <c r="L3538" s="12"/>
      <c r="M3538" s="11"/>
      <c r="N3538" s="11"/>
      <c r="O3538" s="11"/>
      <c r="P3538" s="11"/>
    </row>
    <row r="3539" spans="8:16" x14ac:dyDescent="0.25">
      <c r="H3539" s="12"/>
      <c r="I3539" s="12"/>
      <c r="J3539" s="12"/>
      <c r="K3539" s="12"/>
      <c r="L3539" s="12"/>
      <c r="M3539" s="11"/>
      <c r="N3539" s="11"/>
      <c r="O3539" s="11"/>
      <c r="P3539" s="11"/>
    </row>
    <row r="3540" spans="8:16" x14ac:dyDescent="0.25">
      <c r="H3540" s="12"/>
      <c r="I3540" s="12"/>
      <c r="J3540" s="12"/>
      <c r="K3540" s="12"/>
      <c r="L3540" s="12"/>
      <c r="M3540" s="11"/>
      <c r="N3540" s="11"/>
      <c r="O3540" s="11"/>
      <c r="P3540" s="11"/>
    </row>
    <row r="3541" spans="8:16" x14ac:dyDescent="0.25">
      <c r="H3541" s="12"/>
      <c r="I3541" s="12"/>
      <c r="J3541" s="12"/>
      <c r="K3541" s="12"/>
      <c r="L3541" s="12"/>
      <c r="M3541" s="11"/>
      <c r="N3541" s="11"/>
      <c r="O3541" s="11"/>
      <c r="P3541" s="11"/>
    </row>
    <row r="3542" spans="8:16" x14ac:dyDescent="0.25">
      <c r="H3542" s="12"/>
      <c r="I3542" s="12"/>
      <c r="J3542" s="12"/>
      <c r="K3542" s="12"/>
      <c r="L3542" s="12"/>
      <c r="M3542" s="11"/>
      <c r="N3542" s="11"/>
      <c r="O3542" s="11"/>
      <c r="P3542" s="11"/>
    </row>
    <row r="3543" spans="8:16" x14ac:dyDescent="0.25">
      <c r="H3543" s="12"/>
      <c r="I3543" s="12"/>
      <c r="J3543" s="12"/>
      <c r="K3543" s="12"/>
      <c r="L3543" s="12"/>
      <c r="M3543" s="11"/>
      <c r="N3543" s="11"/>
      <c r="O3543" s="11"/>
      <c r="P3543" s="11"/>
    </row>
    <row r="3544" spans="8:16" x14ac:dyDescent="0.25">
      <c r="H3544" s="12"/>
      <c r="I3544" s="12"/>
      <c r="J3544" s="12"/>
      <c r="K3544" s="12"/>
      <c r="L3544" s="12"/>
      <c r="M3544" s="11"/>
      <c r="N3544" s="11"/>
      <c r="O3544" s="11"/>
      <c r="P3544" s="11"/>
    </row>
    <row r="3545" spans="8:16" x14ac:dyDescent="0.25">
      <c r="H3545" s="12"/>
      <c r="I3545" s="12"/>
      <c r="J3545" s="12"/>
      <c r="K3545" s="12"/>
      <c r="L3545" s="12"/>
      <c r="M3545" s="11"/>
      <c r="N3545" s="11"/>
      <c r="O3545" s="11"/>
      <c r="P3545" s="11"/>
    </row>
    <row r="3546" spans="8:16" x14ac:dyDescent="0.25">
      <c r="H3546" s="12"/>
      <c r="I3546" s="12"/>
      <c r="J3546" s="12"/>
      <c r="K3546" s="12"/>
      <c r="L3546" s="12"/>
      <c r="M3546" s="11"/>
      <c r="N3546" s="11"/>
      <c r="O3546" s="11"/>
      <c r="P3546" s="11"/>
    </row>
    <row r="3547" spans="8:16" x14ac:dyDescent="0.25">
      <c r="H3547" s="12"/>
      <c r="I3547" s="12"/>
      <c r="J3547" s="12"/>
      <c r="K3547" s="12"/>
      <c r="L3547" s="12"/>
      <c r="M3547" s="11"/>
      <c r="N3547" s="11"/>
      <c r="O3547" s="11"/>
      <c r="P3547" s="11"/>
    </row>
    <row r="3548" spans="8:16" x14ac:dyDescent="0.25">
      <c r="H3548" s="12"/>
      <c r="I3548" s="12"/>
      <c r="J3548" s="12"/>
      <c r="K3548" s="12"/>
      <c r="L3548" s="12"/>
      <c r="M3548" s="11"/>
      <c r="N3548" s="11"/>
      <c r="O3548" s="11"/>
      <c r="P3548" s="11"/>
    </row>
    <row r="3549" spans="8:16" x14ac:dyDescent="0.25">
      <c r="H3549" s="12"/>
      <c r="I3549" s="12"/>
      <c r="J3549" s="12"/>
      <c r="K3549" s="12"/>
      <c r="L3549" s="12"/>
      <c r="M3549" s="11"/>
      <c r="N3549" s="11"/>
      <c r="O3549" s="11"/>
      <c r="P3549" s="11"/>
    </row>
    <row r="3550" spans="8:16" x14ac:dyDescent="0.25">
      <c r="H3550" s="12"/>
      <c r="I3550" s="12"/>
      <c r="J3550" s="12"/>
      <c r="K3550" s="12"/>
      <c r="L3550" s="12"/>
      <c r="M3550" s="11"/>
      <c r="N3550" s="11"/>
      <c r="O3550" s="11"/>
      <c r="P3550" s="11"/>
    </row>
    <row r="3551" spans="8:16" x14ac:dyDescent="0.25">
      <c r="H3551" s="12"/>
      <c r="I3551" s="12"/>
      <c r="J3551" s="12"/>
      <c r="K3551" s="12"/>
      <c r="L3551" s="12"/>
      <c r="M3551" s="11"/>
      <c r="N3551" s="11"/>
      <c r="O3551" s="11"/>
      <c r="P3551" s="11"/>
    </row>
    <row r="3552" spans="8:16" x14ac:dyDescent="0.25">
      <c r="H3552" s="12"/>
      <c r="I3552" s="12"/>
      <c r="J3552" s="12"/>
      <c r="K3552" s="12"/>
      <c r="L3552" s="12"/>
      <c r="M3552" s="11"/>
      <c r="N3552" s="11"/>
      <c r="O3552" s="11"/>
      <c r="P3552" s="11"/>
    </row>
    <row r="3553" spans="8:16" x14ac:dyDescent="0.25">
      <c r="H3553" s="12"/>
      <c r="I3553" s="12"/>
      <c r="J3553" s="12"/>
      <c r="K3553" s="12"/>
      <c r="L3553" s="12"/>
      <c r="M3553" s="11"/>
      <c r="N3553" s="11"/>
      <c r="O3553" s="11"/>
      <c r="P3553" s="11"/>
    </row>
    <row r="3554" spans="8:16" x14ac:dyDescent="0.25">
      <c r="H3554" s="12"/>
      <c r="I3554" s="12"/>
      <c r="J3554" s="12"/>
      <c r="K3554" s="12"/>
      <c r="L3554" s="12"/>
      <c r="M3554" s="11"/>
      <c r="N3554" s="11"/>
      <c r="O3554" s="11"/>
      <c r="P3554" s="11"/>
    </row>
    <row r="3555" spans="8:16" x14ac:dyDescent="0.25">
      <c r="H3555" s="12"/>
      <c r="I3555" s="12"/>
      <c r="J3555" s="12"/>
      <c r="K3555" s="12"/>
      <c r="L3555" s="12"/>
      <c r="M3555" s="11"/>
      <c r="N3555" s="11"/>
      <c r="O3555" s="11"/>
      <c r="P3555" s="11"/>
    </row>
    <row r="3556" spans="8:16" x14ac:dyDescent="0.25">
      <c r="H3556" s="12"/>
      <c r="I3556" s="12"/>
      <c r="J3556" s="12"/>
      <c r="K3556" s="12"/>
      <c r="L3556" s="12"/>
      <c r="M3556" s="11"/>
      <c r="N3556" s="11"/>
      <c r="O3556" s="11"/>
      <c r="P3556" s="11"/>
    </row>
    <row r="3557" spans="8:16" x14ac:dyDescent="0.25">
      <c r="H3557" s="12"/>
      <c r="I3557" s="12"/>
      <c r="J3557" s="12"/>
      <c r="K3557" s="12"/>
      <c r="L3557" s="12"/>
      <c r="M3557" s="11"/>
      <c r="N3557" s="11"/>
      <c r="O3557" s="11"/>
      <c r="P3557" s="11"/>
    </row>
    <row r="3558" spans="8:16" x14ac:dyDescent="0.25">
      <c r="H3558" s="12"/>
      <c r="I3558" s="12"/>
      <c r="J3558" s="12"/>
      <c r="K3558" s="12"/>
      <c r="L3558" s="12"/>
      <c r="M3558" s="11"/>
      <c r="N3558" s="11"/>
      <c r="O3558" s="11"/>
      <c r="P3558" s="11"/>
    </row>
    <row r="3559" spans="8:16" x14ac:dyDescent="0.25">
      <c r="H3559" s="12"/>
      <c r="I3559" s="12"/>
      <c r="J3559" s="12"/>
      <c r="K3559" s="12"/>
      <c r="L3559" s="12"/>
      <c r="M3559" s="11"/>
      <c r="N3559" s="11"/>
      <c r="O3559" s="11"/>
      <c r="P3559" s="11"/>
    </row>
    <row r="3560" spans="8:16" x14ac:dyDescent="0.25">
      <c r="H3560" s="12"/>
      <c r="I3560" s="12"/>
      <c r="J3560" s="12"/>
      <c r="K3560" s="12"/>
      <c r="L3560" s="12"/>
      <c r="M3560" s="11"/>
      <c r="N3560" s="11"/>
      <c r="O3560" s="11"/>
      <c r="P3560" s="11"/>
    </row>
    <row r="3561" spans="8:16" x14ac:dyDescent="0.25">
      <c r="H3561" s="12"/>
      <c r="I3561" s="12"/>
      <c r="J3561" s="12"/>
      <c r="K3561" s="12"/>
      <c r="L3561" s="12"/>
      <c r="M3561" s="11"/>
      <c r="N3561" s="11"/>
      <c r="O3561" s="11"/>
      <c r="P3561" s="11"/>
    </row>
    <row r="3562" spans="8:16" x14ac:dyDescent="0.25">
      <c r="H3562" s="12"/>
      <c r="I3562" s="12"/>
      <c r="J3562" s="12"/>
      <c r="K3562" s="12"/>
      <c r="L3562" s="12"/>
      <c r="M3562" s="11"/>
      <c r="N3562" s="11"/>
      <c r="O3562" s="11"/>
      <c r="P3562" s="11"/>
    </row>
    <row r="3563" spans="8:16" x14ac:dyDescent="0.25">
      <c r="H3563" s="12"/>
      <c r="I3563" s="12"/>
      <c r="J3563" s="12"/>
      <c r="K3563" s="12"/>
      <c r="L3563" s="12"/>
      <c r="M3563" s="11"/>
      <c r="N3563" s="11"/>
      <c r="O3563" s="11"/>
      <c r="P3563" s="11"/>
    </row>
    <row r="3564" spans="8:16" x14ac:dyDescent="0.25">
      <c r="H3564" s="12"/>
      <c r="I3564" s="12"/>
      <c r="J3564" s="12"/>
      <c r="K3564" s="12"/>
      <c r="L3564" s="12"/>
      <c r="M3564" s="11"/>
      <c r="N3564" s="11"/>
      <c r="O3564" s="11"/>
      <c r="P3564" s="11"/>
    </row>
    <row r="3565" spans="8:16" x14ac:dyDescent="0.25">
      <c r="H3565" s="12"/>
      <c r="I3565" s="12"/>
      <c r="J3565" s="12"/>
      <c r="K3565" s="12"/>
      <c r="L3565" s="12"/>
      <c r="M3565" s="11"/>
      <c r="N3565" s="11"/>
      <c r="O3565" s="11"/>
      <c r="P3565" s="11"/>
    </row>
    <row r="3566" spans="8:16" x14ac:dyDescent="0.25">
      <c r="H3566" s="12"/>
      <c r="I3566" s="12"/>
      <c r="J3566" s="12"/>
      <c r="K3566" s="12"/>
      <c r="L3566" s="12"/>
      <c r="M3566" s="11"/>
      <c r="N3566" s="11"/>
      <c r="O3566" s="11"/>
      <c r="P3566" s="11"/>
    </row>
    <row r="3567" spans="8:16" x14ac:dyDescent="0.25">
      <c r="H3567" s="12"/>
      <c r="I3567" s="12"/>
      <c r="J3567" s="12"/>
      <c r="K3567" s="12"/>
      <c r="L3567" s="12"/>
      <c r="M3567" s="11"/>
      <c r="N3567" s="11"/>
      <c r="O3567" s="11"/>
      <c r="P3567" s="11"/>
    </row>
    <row r="3568" spans="8:16" x14ac:dyDescent="0.25">
      <c r="H3568" s="12"/>
      <c r="I3568" s="12"/>
      <c r="J3568" s="12"/>
      <c r="K3568" s="12"/>
      <c r="L3568" s="12"/>
      <c r="M3568" s="11"/>
      <c r="N3568" s="11"/>
      <c r="O3568" s="11"/>
      <c r="P3568" s="11"/>
    </row>
    <row r="3569" spans="8:16" x14ac:dyDescent="0.25">
      <c r="H3569" s="12"/>
      <c r="I3569" s="12"/>
      <c r="J3569" s="12"/>
      <c r="K3569" s="12"/>
      <c r="L3569" s="12"/>
      <c r="M3569" s="11"/>
      <c r="N3569" s="11"/>
      <c r="O3569" s="11"/>
      <c r="P3569" s="11"/>
    </row>
    <row r="3570" spans="8:16" x14ac:dyDescent="0.25">
      <c r="H3570" s="12"/>
      <c r="I3570" s="12"/>
      <c r="J3570" s="12"/>
      <c r="K3570" s="12"/>
      <c r="L3570" s="12"/>
      <c r="M3570" s="11"/>
      <c r="N3570" s="11"/>
      <c r="O3570" s="11"/>
      <c r="P3570" s="11"/>
    </row>
    <row r="3571" spans="8:16" x14ac:dyDescent="0.25">
      <c r="H3571" s="12"/>
      <c r="I3571" s="12"/>
      <c r="J3571" s="12"/>
      <c r="K3571" s="12"/>
      <c r="L3571" s="12"/>
      <c r="M3571" s="11"/>
      <c r="N3571" s="11"/>
      <c r="O3571" s="11"/>
      <c r="P3571" s="11"/>
    </row>
    <row r="3572" spans="8:16" x14ac:dyDescent="0.25">
      <c r="H3572" s="12"/>
      <c r="I3572" s="12"/>
      <c r="J3572" s="12"/>
      <c r="K3572" s="12"/>
      <c r="L3572" s="12"/>
      <c r="M3572" s="11"/>
      <c r="N3572" s="11"/>
      <c r="O3572" s="11"/>
      <c r="P3572" s="11"/>
    </row>
    <row r="3573" spans="8:16" x14ac:dyDescent="0.25">
      <c r="H3573" s="12"/>
      <c r="I3573" s="12"/>
      <c r="J3573" s="12"/>
      <c r="K3573" s="12"/>
      <c r="L3573" s="12"/>
      <c r="M3573" s="11"/>
      <c r="N3573" s="11"/>
      <c r="O3573" s="11"/>
      <c r="P3573" s="11"/>
    </row>
    <row r="3574" spans="8:16" x14ac:dyDescent="0.25">
      <c r="H3574" s="12"/>
      <c r="I3574" s="12"/>
      <c r="J3574" s="12"/>
      <c r="K3574" s="12"/>
      <c r="L3574" s="12"/>
      <c r="M3574" s="11"/>
      <c r="N3574" s="11"/>
      <c r="O3574" s="11"/>
      <c r="P3574" s="11"/>
    </row>
    <row r="3575" spans="8:16" x14ac:dyDescent="0.25">
      <c r="H3575" s="12"/>
      <c r="I3575" s="12"/>
      <c r="J3575" s="12"/>
      <c r="K3575" s="12"/>
      <c r="L3575" s="12"/>
      <c r="M3575" s="11"/>
      <c r="N3575" s="11"/>
      <c r="O3575" s="11"/>
      <c r="P3575" s="11"/>
    </row>
    <row r="3576" spans="8:16" x14ac:dyDescent="0.25">
      <c r="H3576" s="12"/>
      <c r="I3576" s="12"/>
      <c r="J3576" s="12"/>
      <c r="K3576" s="12"/>
      <c r="L3576" s="12"/>
      <c r="M3576" s="11"/>
      <c r="N3576" s="11"/>
      <c r="O3576" s="11"/>
      <c r="P3576" s="11"/>
    </row>
    <row r="3577" spans="8:16" x14ac:dyDescent="0.25">
      <c r="H3577" s="12"/>
      <c r="I3577" s="12"/>
      <c r="J3577" s="12"/>
      <c r="K3577" s="12"/>
      <c r="L3577" s="12"/>
      <c r="M3577" s="11"/>
      <c r="N3577" s="11"/>
      <c r="O3577" s="11"/>
      <c r="P3577" s="11"/>
    </row>
    <row r="3578" spans="8:16" x14ac:dyDescent="0.25">
      <c r="H3578" s="12"/>
      <c r="I3578" s="12"/>
      <c r="J3578" s="12"/>
      <c r="K3578" s="12"/>
      <c r="L3578" s="12"/>
      <c r="M3578" s="11"/>
      <c r="N3578" s="11"/>
      <c r="O3578" s="11"/>
      <c r="P3578" s="11"/>
    </row>
    <row r="3579" spans="8:16" x14ac:dyDescent="0.25">
      <c r="H3579" s="12"/>
      <c r="I3579" s="12"/>
      <c r="J3579" s="12"/>
      <c r="K3579" s="12"/>
      <c r="L3579" s="12"/>
      <c r="M3579" s="11"/>
      <c r="N3579" s="11"/>
      <c r="O3579" s="11"/>
      <c r="P3579" s="11"/>
    </row>
    <row r="3580" spans="8:16" x14ac:dyDescent="0.25">
      <c r="H3580" s="12"/>
      <c r="I3580" s="12"/>
      <c r="J3580" s="12"/>
      <c r="K3580" s="12"/>
      <c r="L3580" s="12"/>
      <c r="M3580" s="11"/>
      <c r="N3580" s="11"/>
      <c r="O3580" s="11"/>
      <c r="P3580" s="11"/>
    </row>
    <row r="3581" spans="8:16" x14ac:dyDescent="0.25">
      <c r="H3581" s="12"/>
      <c r="I3581" s="12"/>
      <c r="J3581" s="12"/>
      <c r="K3581" s="12"/>
      <c r="L3581" s="12"/>
      <c r="M3581" s="11"/>
      <c r="N3581" s="11"/>
      <c r="O3581" s="11"/>
      <c r="P3581" s="11"/>
    </row>
    <row r="3582" spans="8:16" x14ac:dyDescent="0.25">
      <c r="H3582" s="12"/>
      <c r="I3582" s="12"/>
      <c r="J3582" s="12"/>
      <c r="K3582" s="12"/>
      <c r="L3582" s="12"/>
      <c r="M3582" s="11"/>
      <c r="N3582" s="11"/>
      <c r="O3582" s="11"/>
      <c r="P3582" s="11"/>
    </row>
    <row r="3583" spans="8:16" x14ac:dyDescent="0.25">
      <c r="H3583" s="12"/>
      <c r="I3583" s="12"/>
      <c r="J3583" s="12"/>
      <c r="K3583" s="12"/>
      <c r="L3583" s="12"/>
      <c r="M3583" s="11"/>
      <c r="N3583" s="11"/>
      <c r="O3583" s="11"/>
      <c r="P3583" s="11"/>
    </row>
    <row r="3584" spans="8:16" x14ac:dyDescent="0.25">
      <c r="H3584" s="12"/>
      <c r="I3584" s="12"/>
      <c r="J3584" s="12"/>
      <c r="K3584" s="12"/>
      <c r="L3584" s="12"/>
      <c r="M3584" s="11"/>
      <c r="N3584" s="11"/>
      <c r="O3584" s="11"/>
      <c r="P3584" s="11"/>
    </row>
    <row r="3585" spans="8:16" x14ac:dyDescent="0.25">
      <c r="H3585" s="12"/>
      <c r="I3585" s="12"/>
      <c r="J3585" s="12"/>
      <c r="K3585" s="12"/>
      <c r="L3585" s="12"/>
      <c r="M3585" s="11"/>
      <c r="N3585" s="11"/>
      <c r="O3585" s="11"/>
      <c r="P3585" s="11"/>
    </row>
    <row r="3586" spans="8:16" x14ac:dyDescent="0.25">
      <c r="H3586" s="12"/>
      <c r="I3586" s="12"/>
      <c r="J3586" s="12"/>
      <c r="K3586" s="12"/>
      <c r="L3586" s="12"/>
      <c r="M3586" s="11"/>
      <c r="N3586" s="11"/>
      <c r="O3586" s="11"/>
      <c r="P3586" s="11"/>
    </row>
    <row r="3587" spans="8:16" x14ac:dyDescent="0.25">
      <c r="H3587" s="12"/>
      <c r="I3587" s="12"/>
      <c r="J3587" s="12"/>
      <c r="K3587" s="12"/>
      <c r="L3587" s="12"/>
      <c r="M3587" s="11"/>
      <c r="N3587" s="11"/>
      <c r="O3587" s="11"/>
      <c r="P3587" s="11"/>
    </row>
    <row r="3588" spans="8:16" x14ac:dyDescent="0.25">
      <c r="H3588" s="12"/>
      <c r="I3588" s="12"/>
      <c r="J3588" s="12"/>
      <c r="K3588" s="12"/>
      <c r="L3588" s="12"/>
      <c r="M3588" s="11"/>
      <c r="N3588" s="11"/>
      <c r="O3588" s="11"/>
      <c r="P3588" s="11"/>
    </row>
    <row r="3589" spans="8:16" x14ac:dyDescent="0.25">
      <c r="H3589" s="12"/>
      <c r="I3589" s="12"/>
      <c r="J3589" s="12"/>
      <c r="K3589" s="12"/>
      <c r="L3589" s="12"/>
      <c r="M3589" s="11"/>
      <c r="N3589" s="11"/>
      <c r="O3589" s="11"/>
      <c r="P3589" s="11"/>
    </row>
    <row r="3590" spans="8:16" x14ac:dyDescent="0.25">
      <c r="H3590" s="12"/>
      <c r="I3590" s="12"/>
      <c r="J3590" s="12"/>
      <c r="K3590" s="12"/>
      <c r="L3590" s="12"/>
      <c r="M3590" s="11"/>
      <c r="N3590" s="11"/>
      <c r="O3590" s="11"/>
      <c r="P3590" s="11"/>
    </row>
    <row r="3591" spans="8:16" x14ac:dyDescent="0.25">
      <c r="H3591" s="12"/>
      <c r="I3591" s="12"/>
      <c r="J3591" s="12"/>
      <c r="K3591" s="12"/>
      <c r="L3591" s="12"/>
      <c r="M3591" s="11"/>
      <c r="N3591" s="11"/>
      <c r="O3591" s="11"/>
      <c r="P3591" s="11"/>
    </row>
    <row r="3592" spans="8:16" x14ac:dyDescent="0.25">
      <c r="H3592" s="12"/>
      <c r="I3592" s="12"/>
      <c r="J3592" s="12"/>
      <c r="K3592" s="12"/>
      <c r="L3592" s="12"/>
      <c r="M3592" s="11"/>
      <c r="N3592" s="11"/>
      <c r="O3592" s="11"/>
      <c r="P3592" s="11"/>
    </row>
    <row r="3593" spans="8:16" x14ac:dyDescent="0.25">
      <c r="H3593" s="12"/>
      <c r="I3593" s="12"/>
      <c r="J3593" s="12"/>
      <c r="K3593" s="12"/>
      <c r="L3593" s="12"/>
      <c r="M3593" s="11"/>
      <c r="N3593" s="11"/>
      <c r="O3593" s="11"/>
      <c r="P3593" s="11"/>
    </row>
    <row r="3594" spans="8:16" x14ac:dyDescent="0.25">
      <c r="H3594" s="12"/>
      <c r="I3594" s="12"/>
      <c r="J3594" s="12"/>
      <c r="K3594" s="12"/>
      <c r="L3594" s="12"/>
      <c r="M3594" s="11"/>
      <c r="N3594" s="11"/>
      <c r="O3594" s="11"/>
      <c r="P3594" s="11"/>
    </row>
    <row r="3595" spans="8:16" x14ac:dyDescent="0.25">
      <c r="H3595" s="12"/>
      <c r="I3595" s="12"/>
      <c r="J3595" s="12"/>
      <c r="K3595" s="12"/>
      <c r="L3595" s="12"/>
      <c r="M3595" s="11"/>
      <c r="N3595" s="11"/>
      <c r="O3595" s="11"/>
      <c r="P3595" s="11"/>
    </row>
    <row r="3596" spans="8:16" x14ac:dyDescent="0.25">
      <c r="H3596" s="12"/>
      <c r="I3596" s="12"/>
      <c r="J3596" s="12"/>
      <c r="K3596" s="12"/>
      <c r="L3596" s="12"/>
      <c r="M3596" s="11"/>
      <c r="N3596" s="11"/>
      <c r="O3596" s="11"/>
      <c r="P3596" s="11"/>
    </row>
    <row r="3597" spans="8:16" x14ac:dyDescent="0.25">
      <c r="H3597" s="12"/>
      <c r="I3597" s="12"/>
      <c r="J3597" s="12"/>
      <c r="K3597" s="12"/>
      <c r="L3597" s="12"/>
      <c r="M3597" s="11"/>
      <c r="N3597" s="11"/>
      <c r="O3597" s="11"/>
      <c r="P3597" s="11"/>
    </row>
    <row r="3598" spans="8:16" x14ac:dyDescent="0.25">
      <c r="H3598" s="12"/>
      <c r="I3598" s="12"/>
      <c r="J3598" s="12"/>
      <c r="K3598" s="12"/>
      <c r="L3598" s="12"/>
      <c r="M3598" s="11"/>
      <c r="N3598" s="11"/>
      <c r="O3598" s="11"/>
      <c r="P3598" s="11"/>
    </row>
    <row r="3599" spans="8:16" x14ac:dyDescent="0.25">
      <c r="H3599" s="12"/>
      <c r="I3599" s="12"/>
      <c r="J3599" s="12"/>
      <c r="K3599" s="12"/>
      <c r="L3599" s="12"/>
      <c r="M3599" s="11"/>
      <c r="N3599" s="11"/>
      <c r="O3599" s="11"/>
      <c r="P3599" s="11"/>
    </row>
    <row r="3600" spans="8:16" x14ac:dyDescent="0.25">
      <c r="H3600" s="12"/>
      <c r="I3600" s="12"/>
      <c r="J3600" s="12"/>
      <c r="K3600" s="12"/>
      <c r="L3600" s="12"/>
      <c r="M3600" s="11"/>
      <c r="N3600" s="11"/>
      <c r="O3600" s="11"/>
      <c r="P3600" s="11"/>
    </row>
    <row r="3601" spans="8:16" x14ac:dyDescent="0.25">
      <c r="H3601" s="12"/>
      <c r="I3601" s="12"/>
      <c r="J3601" s="12"/>
      <c r="K3601" s="12"/>
      <c r="L3601" s="12"/>
      <c r="M3601" s="11"/>
      <c r="N3601" s="11"/>
      <c r="O3601" s="11"/>
      <c r="P3601" s="11"/>
    </row>
    <row r="3602" spans="8:16" x14ac:dyDescent="0.25">
      <c r="H3602" s="12"/>
      <c r="I3602" s="12"/>
      <c r="J3602" s="12"/>
      <c r="K3602" s="12"/>
      <c r="L3602" s="12"/>
      <c r="M3602" s="11"/>
      <c r="N3602" s="11"/>
      <c r="O3602" s="11"/>
      <c r="P3602" s="11"/>
    </row>
    <row r="3603" spans="8:16" x14ac:dyDescent="0.25">
      <c r="H3603" s="12"/>
      <c r="I3603" s="12"/>
      <c r="J3603" s="12"/>
      <c r="K3603" s="12"/>
      <c r="L3603" s="12"/>
      <c r="M3603" s="11"/>
      <c r="N3603" s="11"/>
      <c r="O3603" s="11"/>
      <c r="P3603" s="11"/>
    </row>
    <row r="3604" spans="8:16" x14ac:dyDescent="0.25">
      <c r="H3604" s="12"/>
      <c r="I3604" s="12"/>
      <c r="J3604" s="12"/>
      <c r="K3604" s="12"/>
      <c r="L3604" s="12"/>
      <c r="M3604" s="11"/>
      <c r="N3604" s="11"/>
      <c r="O3604" s="11"/>
      <c r="P3604" s="11"/>
    </row>
    <row r="3605" spans="8:16" x14ac:dyDescent="0.25">
      <c r="H3605" s="12"/>
      <c r="I3605" s="12"/>
      <c r="J3605" s="12"/>
      <c r="K3605" s="12"/>
      <c r="L3605" s="12"/>
      <c r="M3605" s="11"/>
      <c r="N3605" s="11"/>
      <c r="O3605" s="11"/>
      <c r="P3605" s="11"/>
    </row>
    <row r="3606" spans="8:16" x14ac:dyDescent="0.25">
      <c r="H3606" s="12"/>
      <c r="I3606" s="12"/>
      <c r="J3606" s="12"/>
      <c r="K3606" s="12"/>
      <c r="L3606" s="12"/>
      <c r="M3606" s="11"/>
      <c r="N3606" s="11"/>
      <c r="O3606" s="11"/>
      <c r="P3606" s="11"/>
    </row>
    <row r="3607" spans="8:16" x14ac:dyDescent="0.25">
      <c r="H3607" s="12"/>
      <c r="I3607" s="12"/>
      <c r="J3607" s="12"/>
      <c r="K3607" s="12"/>
      <c r="L3607" s="12"/>
      <c r="M3607" s="11"/>
      <c r="N3607" s="11"/>
      <c r="O3607" s="11"/>
      <c r="P3607" s="11"/>
    </row>
    <row r="3608" spans="8:16" x14ac:dyDescent="0.25">
      <c r="H3608" s="12"/>
      <c r="I3608" s="12"/>
      <c r="J3608" s="12"/>
      <c r="K3608" s="12"/>
      <c r="L3608" s="12"/>
      <c r="M3608" s="11"/>
      <c r="N3608" s="11"/>
      <c r="O3608" s="11"/>
      <c r="P3608" s="11"/>
    </row>
    <row r="3609" spans="8:16" x14ac:dyDescent="0.25">
      <c r="H3609" s="12"/>
      <c r="I3609" s="12"/>
      <c r="J3609" s="12"/>
      <c r="K3609" s="12"/>
      <c r="L3609" s="12"/>
      <c r="M3609" s="11"/>
      <c r="N3609" s="11"/>
      <c r="O3609" s="11"/>
      <c r="P3609" s="11"/>
    </row>
    <row r="3610" spans="8:16" x14ac:dyDescent="0.25">
      <c r="H3610" s="12"/>
      <c r="I3610" s="12"/>
      <c r="J3610" s="12"/>
      <c r="K3610" s="12"/>
      <c r="L3610" s="12"/>
      <c r="M3610" s="11"/>
      <c r="N3610" s="11"/>
      <c r="O3610" s="11"/>
      <c r="P3610" s="11"/>
    </row>
    <row r="3611" spans="8:16" x14ac:dyDescent="0.25">
      <c r="H3611" s="12"/>
      <c r="I3611" s="12"/>
      <c r="J3611" s="12"/>
      <c r="K3611" s="12"/>
      <c r="L3611" s="12"/>
      <c r="M3611" s="11"/>
      <c r="N3611" s="11"/>
      <c r="O3611" s="11"/>
      <c r="P3611" s="11"/>
    </row>
    <row r="3612" spans="8:16" x14ac:dyDescent="0.25">
      <c r="H3612" s="12"/>
      <c r="I3612" s="12"/>
      <c r="J3612" s="12"/>
      <c r="K3612" s="12"/>
      <c r="L3612" s="12"/>
      <c r="M3612" s="11"/>
      <c r="N3612" s="11"/>
      <c r="O3612" s="11"/>
      <c r="P3612" s="11"/>
    </row>
    <row r="3613" spans="8:16" x14ac:dyDescent="0.25">
      <c r="H3613" s="12"/>
      <c r="I3613" s="12"/>
      <c r="J3613" s="12"/>
      <c r="K3613" s="12"/>
      <c r="L3613" s="12"/>
      <c r="M3613" s="11"/>
      <c r="N3613" s="11"/>
      <c r="O3613" s="11"/>
      <c r="P3613" s="11"/>
    </row>
    <row r="3614" spans="8:16" x14ac:dyDescent="0.25">
      <c r="H3614" s="12"/>
      <c r="I3614" s="12"/>
      <c r="J3614" s="12"/>
      <c r="K3614" s="12"/>
      <c r="L3614" s="12"/>
      <c r="M3614" s="11"/>
      <c r="N3614" s="11"/>
      <c r="O3614" s="11"/>
      <c r="P3614" s="11"/>
    </row>
    <row r="3615" spans="8:16" x14ac:dyDescent="0.25">
      <c r="H3615" s="12"/>
      <c r="I3615" s="12"/>
      <c r="J3615" s="12"/>
      <c r="K3615" s="12"/>
      <c r="L3615" s="12"/>
      <c r="M3615" s="11"/>
      <c r="N3615" s="11"/>
      <c r="O3615" s="11"/>
      <c r="P3615" s="11"/>
    </row>
    <row r="3616" spans="8:16" x14ac:dyDescent="0.25">
      <c r="H3616" s="12"/>
      <c r="I3616" s="12"/>
      <c r="J3616" s="12"/>
      <c r="K3616" s="12"/>
      <c r="L3616" s="12"/>
      <c r="M3616" s="11"/>
      <c r="N3616" s="11"/>
      <c r="O3616" s="11"/>
      <c r="P3616" s="11"/>
    </row>
    <row r="3617" spans="8:16" x14ac:dyDescent="0.25">
      <c r="H3617" s="12"/>
      <c r="I3617" s="12"/>
      <c r="J3617" s="12"/>
      <c r="K3617" s="12"/>
      <c r="L3617" s="12"/>
      <c r="M3617" s="11"/>
      <c r="N3617" s="11"/>
      <c r="O3617" s="11"/>
      <c r="P3617" s="11"/>
    </row>
    <row r="3618" spans="8:16" x14ac:dyDescent="0.25">
      <c r="H3618" s="12"/>
      <c r="I3618" s="12"/>
      <c r="J3618" s="12"/>
      <c r="K3618" s="12"/>
      <c r="L3618" s="12"/>
      <c r="M3618" s="11"/>
      <c r="N3618" s="11"/>
      <c r="O3618" s="11"/>
      <c r="P3618" s="11"/>
    </row>
    <row r="3619" spans="8:16" x14ac:dyDescent="0.25">
      <c r="H3619" s="12"/>
      <c r="I3619" s="12"/>
      <c r="J3619" s="12"/>
      <c r="K3619" s="12"/>
      <c r="L3619" s="12"/>
      <c r="M3619" s="11"/>
      <c r="N3619" s="11"/>
      <c r="O3619" s="11"/>
      <c r="P3619" s="11"/>
    </row>
    <row r="3620" spans="8:16" x14ac:dyDescent="0.25">
      <c r="H3620" s="12"/>
      <c r="I3620" s="12"/>
      <c r="J3620" s="12"/>
      <c r="K3620" s="12"/>
      <c r="L3620" s="12"/>
      <c r="M3620" s="11"/>
      <c r="N3620" s="11"/>
      <c r="O3620" s="11"/>
      <c r="P3620" s="11"/>
    </row>
    <row r="3621" spans="8:16" x14ac:dyDescent="0.25">
      <c r="H3621" s="12"/>
      <c r="I3621" s="12"/>
      <c r="J3621" s="12"/>
      <c r="K3621" s="12"/>
      <c r="L3621" s="12"/>
      <c r="M3621" s="11"/>
      <c r="N3621" s="11"/>
      <c r="O3621" s="11"/>
      <c r="P3621" s="11"/>
    </row>
    <row r="3622" spans="8:16" x14ac:dyDescent="0.25">
      <c r="H3622" s="12"/>
      <c r="I3622" s="12"/>
      <c r="J3622" s="12"/>
      <c r="K3622" s="12"/>
      <c r="L3622" s="12"/>
      <c r="M3622" s="11"/>
      <c r="N3622" s="11"/>
      <c r="O3622" s="11"/>
      <c r="P3622" s="11"/>
    </row>
    <row r="3623" spans="8:16" x14ac:dyDescent="0.25">
      <c r="H3623" s="12"/>
      <c r="I3623" s="12"/>
      <c r="J3623" s="12"/>
      <c r="K3623" s="12"/>
      <c r="L3623" s="12"/>
      <c r="M3623" s="11"/>
      <c r="N3623" s="11"/>
      <c r="O3623" s="11"/>
      <c r="P3623" s="11"/>
    </row>
    <row r="3624" spans="8:16" x14ac:dyDescent="0.25">
      <c r="H3624" s="12"/>
      <c r="I3624" s="12"/>
      <c r="J3624" s="12"/>
      <c r="K3624" s="12"/>
      <c r="L3624" s="12"/>
      <c r="M3624" s="11"/>
      <c r="N3624" s="11"/>
      <c r="O3624" s="11"/>
      <c r="P3624" s="11"/>
    </row>
    <row r="3625" spans="8:16" x14ac:dyDescent="0.25">
      <c r="H3625" s="12"/>
      <c r="I3625" s="12"/>
      <c r="J3625" s="12"/>
      <c r="K3625" s="12"/>
      <c r="L3625" s="12"/>
      <c r="M3625" s="11"/>
      <c r="N3625" s="11"/>
      <c r="O3625" s="11"/>
      <c r="P3625" s="11"/>
    </row>
    <row r="3626" spans="8:16" x14ac:dyDescent="0.25">
      <c r="H3626" s="12"/>
      <c r="I3626" s="12"/>
      <c r="J3626" s="12"/>
      <c r="K3626" s="12"/>
      <c r="L3626" s="12"/>
      <c r="M3626" s="11"/>
      <c r="N3626" s="11"/>
      <c r="O3626" s="11"/>
      <c r="P3626" s="11"/>
    </row>
    <row r="3627" spans="8:16" x14ac:dyDescent="0.25">
      <c r="H3627" s="12"/>
      <c r="I3627" s="12"/>
      <c r="J3627" s="12"/>
      <c r="K3627" s="12"/>
      <c r="L3627" s="12"/>
      <c r="M3627" s="11"/>
      <c r="N3627" s="11"/>
      <c r="O3627" s="11"/>
      <c r="P3627" s="11"/>
    </row>
    <row r="3628" spans="8:16" x14ac:dyDescent="0.25">
      <c r="H3628" s="12"/>
      <c r="I3628" s="12"/>
      <c r="J3628" s="12"/>
      <c r="K3628" s="12"/>
      <c r="L3628" s="12"/>
      <c r="M3628" s="11"/>
      <c r="N3628" s="11"/>
      <c r="O3628" s="11"/>
      <c r="P3628" s="11"/>
    </row>
    <row r="3629" spans="8:16" x14ac:dyDescent="0.25">
      <c r="H3629" s="12"/>
      <c r="I3629" s="12"/>
      <c r="J3629" s="12"/>
      <c r="K3629" s="12"/>
      <c r="L3629" s="12"/>
      <c r="M3629" s="11"/>
      <c r="N3629" s="11"/>
      <c r="O3629" s="11"/>
      <c r="P3629" s="11"/>
    </row>
    <row r="3630" spans="8:16" x14ac:dyDescent="0.25">
      <c r="H3630" s="12"/>
      <c r="I3630" s="12"/>
      <c r="J3630" s="12"/>
      <c r="K3630" s="12"/>
      <c r="L3630" s="12"/>
      <c r="M3630" s="11"/>
      <c r="N3630" s="11"/>
      <c r="O3630" s="11"/>
      <c r="P3630" s="11"/>
    </row>
    <row r="3631" spans="8:16" x14ac:dyDescent="0.25">
      <c r="H3631" s="12"/>
      <c r="I3631" s="12"/>
      <c r="J3631" s="12"/>
      <c r="K3631" s="12"/>
      <c r="L3631" s="12"/>
      <c r="M3631" s="11"/>
      <c r="N3631" s="11"/>
      <c r="O3631" s="11"/>
      <c r="P3631" s="11"/>
    </row>
    <row r="3632" spans="8:16" x14ac:dyDescent="0.25">
      <c r="H3632" s="12"/>
      <c r="I3632" s="12"/>
      <c r="J3632" s="12"/>
      <c r="K3632" s="12"/>
      <c r="L3632" s="12"/>
      <c r="M3632" s="11"/>
      <c r="N3632" s="11"/>
      <c r="O3632" s="11"/>
      <c r="P3632" s="11"/>
    </row>
    <row r="3633" spans="8:16" x14ac:dyDescent="0.25">
      <c r="H3633" s="12"/>
      <c r="I3633" s="12"/>
      <c r="J3633" s="12"/>
      <c r="K3633" s="12"/>
      <c r="L3633" s="12"/>
      <c r="M3633" s="11"/>
      <c r="N3633" s="11"/>
      <c r="O3633" s="11"/>
      <c r="P3633" s="11"/>
    </row>
    <row r="3634" spans="8:16" x14ac:dyDescent="0.25">
      <c r="H3634" s="12"/>
      <c r="I3634" s="12"/>
      <c r="J3634" s="12"/>
      <c r="K3634" s="12"/>
      <c r="L3634" s="12"/>
      <c r="M3634" s="11"/>
      <c r="N3634" s="11"/>
      <c r="O3634" s="11"/>
      <c r="P3634" s="11"/>
    </row>
    <row r="3635" spans="8:16" x14ac:dyDescent="0.25">
      <c r="H3635" s="12"/>
      <c r="I3635" s="12"/>
      <c r="J3635" s="12"/>
      <c r="K3635" s="12"/>
      <c r="L3635" s="12"/>
      <c r="M3635" s="11"/>
      <c r="N3635" s="11"/>
      <c r="O3635" s="11"/>
      <c r="P3635" s="11"/>
    </row>
    <row r="3636" spans="8:16" x14ac:dyDescent="0.25">
      <c r="H3636" s="12"/>
      <c r="I3636" s="12"/>
      <c r="J3636" s="12"/>
      <c r="K3636" s="12"/>
      <c r="L3636" s="12"/>
      <c r="M3636" s="11"/>
      <c r="N3636" s="11"/>
      <c r="O3636" s="11"/>
      <c r="P3636" s="11"/>
    </row>
    <row r="3637" spans="8:16" x14ac:dyDescent="0.25">
      <c r="H3637" s="12"/>
      <c r="I3637" s="12"/>
      <c r="J3637" s="12"/>
      <c r="K3637" s="12"/>
      <c r="L3637" s="12"/>
      <c r="M3637" s="11"/>
      <c r="N3637" s="11"/>
      <c r="O3637" s="11"/>
      <c r="P3637" s="11"/>
    </row>
    <row r="3638" spans="8:16" x14ac:dyDescent="0.25">
      <c r="H3638" s="12"/>
      <c r="I3638" s="12"/>
      <c r="J3638" s="12"/>
      <c r="K3638" s="12"/>
      <c r="L3638" s="12"/>
      <c r="M3638" s="11"/>
      <c r="N3638" s="11"/>
      <c r="O3638" s="11"/>
      <c r="P3638" s="11"/>
    </row>
    <row r="3639" spans="8:16" x14ac:dyDescent="0.25">
      <c r="H3639" s="12"/>
      <c r="I3639" s="12"/>
      <c r="J3639" s="12"/>
      <c r="K3639" s="12"/>
      <c r="L3639" s="12"/>
      <c r="M3639" s="11"/>
      <c r="N3639" s="11"/>
      <c r="O3639" s="11"/>
      <c r="P3639" s="11"/>
    </row>
    <row r="3640" spans="8:16" x14ac:dyDescent="0.25">
      <c r="H3640" s="12"/>
      <c r="I3640" s="12"/>
      <c r="J3640" s="12"/>
      <c r="K3640" s="12"/>
      <c r="L3640" s="12"/>
      <c r="M3640" s="11"/>
      <c r="N3640" s="11"/>
      <c r="O3640" s="11"/>
      <c r="P3640" s="11"/>
    </row>
    <row r="3641" spans="8:16" x14ac:dyDescent="0.25">
      <c r="H3641" s="12"/>
      <c r="I3641" s="12"/>
      <c r="J3641" s="12"/>
      <c r="K3641" s="12"/>
      <c r="L3641" s="12"/>
      <c r="M3641" s="11"/>
      <c r="N3641" s="11"/>
      <c r="O3641" s="11"/>
      <c r="P3641" s="11"/>
    </row>
    <row r="3642" spans="8:16" x14ac:dyDescent="0.25">
      <c r="H3642" s="12"/>
      <c r="I3642" s="12"/>
      <c r="J3642" s="12"/>
      <c r="K3642" s="12"/>
      <c r="L3642" s="12"/>
      <c r="M3642" s="11"/>
      <c r="N3642" s="11"/>
      <c r="O3642" s="11"/>
      <c r="P3642" s="11"/>
    </row>
    <row r="3643" spans="8:16" x14ac:dyDescent="0.25">
      <c r="H3643" s="12"/>
      <c r="I3643" s="12"/>
      <c r="J3643" s="12"/>
      <c r="K3643" s="12"/>
      <c r="L3643" s="12"/>
      <c r="M3643" s="11"/>
      <c r="N3643" s="11"/>
      <c r="O3643" s="11"/>
      <c r="P3643" s="11"/>
    </row>
    <row r="3644" spans="8:16" x14ac:dyDescent="0.25">
      <c r="H3644" s="12"/>
      <c r="I3644" s="12"/>
      <c r="J3644" s="12"/>
      <c r="K3644" s="12"/>
      <c r="L3644" s="12"/>
      <c r="M3644" s="11"/>
      <c r="N3644" s="11"/>
      <c r="O3644" s="11"/>
      <c r="P3644" s="11"/>
    </row>
    <row r="3645" spans="8:16" x14ac:dyDescent="0.25">
      <c r="H3645" s="12"/>
      <c r="I3645" s="12"/>
      <c r="J3645" s="12"/>
      <c r="K3645" s="12"/>
      <c r="L3645" s="12"/>
      <c r="M3645" s="11"/>
      <c r="N3645" s="11"/>
      <c r="O3645" s="11"/>
      <c r="P3645" s="11"/>
    </row>
    <row r="3646" spans="8:16" x14ac:dyDescent="0.25">
      <c r="H3646" s="12"/>
      <c r="I3646" s="12"/>
      <c r="J3646" s="12"/>
      <c r="K3646" s="12"/>
      <c r="L3646" s="12"/>
      <c r="M3646" s="11"/>
      <c r="N3646" s="11"/>
      <c r="O3646" s="11"/>
      <c r="P3646" s="11"/>
    </row>
    <row r="3647" spans="8:16" x14ac:dyDescent="0.25">
      <c r="H3647" s="12"/>
      <c r="I3647" s="12"/>
      <c r="J3647" s="12"/>
      <c r="K3647" s="12"/>
      <c r="L3647" s="12"/>
      <c r="M3647" s="11"/>
      <c r="N3647" s="11"/>
      <c r="O3647" s="11"/>
      <c r="P3647" s="11"/>
    </row>
    <row r="3648" spans="8:16" x14ac:dyDescent="0.25">
      <c r="H3648" s="12"/>
      <c r="I3648" s="12"/>
      <c r="J3648" s="12"/>
      <c r="K3648" s="12"/>
      <c r="L3648" s="12"/>
      <c r="M3648" s="11"/>
      <c r="N3648" s="11"/>
      <c r="O3648" s="11"/>
      <c r="P3648" s="11"/>
    </row>
    <row r="3649" spans="8:16" x14ac:dyDescent="0.25">
      <c r="H3649" s="12"/>
      <c r="I3649" s="12"/>
      <c r="J3649" s="12"/>
      <c r="K3649" s="12"/>
      <c r="L3649" s="12"/>
      <c r="M3649" s="11"/>
      <c r="N3649" s="11"/>
      <c r="O3649" s="11"/>
      <c r="P3649" s="11"/>
    </row>
    <row r="3650" spans="8:16" x14ac:dyDescent="0.25">
      <c r="H3650" s="12"/>
      <c r="I3650" s="12"/>
      <c r="J3650" s="12"/>
      <c r="K3650" s="12"/>
      <c r="L3650" s="12"/>
      <c r="M3650" s="11"/>
      <c r="N3650" s="11"/>
      <c r="O3650" s="11"/>
      <c r="P3650" s="11"/>
    </row>
    <row r="3651" spans="8:16" x14ac:dyDescent="0.25">
      <c r="H3651" s="12"/>
      <c r="I3651" s="12"/>
      <c r="J3651" s="12"/>
      <c r="K3651" s="12"/>
      <c r="L3651" s="12"/>
      <c r="M3651" s="11"/>
      <c r="N3651" s="11"/>
      <c r="O3651" s="11"/>
      <c r="P3651" s="11"/>
    </row>
    <row r="3652" spans="8:16" x14ac:dyDescent="0.25">
      <c r="H3652" s="12"/>
      <c r="I3652" s="12"/>
      <c r="J3652" s="12"/>
      <c r="K3652" s="12"/>
      <c r="L3652" s="12"/>
      <c r="M3652" s="11"/>
      <c r="N3652" s="11"/>
      <c r="O3652" s="11"/>
      <c r="P3652" s="11"/>
    </row>
    <row r="3653" spans="8:16" x14ac:dyDescent="0.25">
      <c r="H3653" s="12"/>
      <c r="I3653" s="12"/>
      <c r="J3653" s="12"/>
      <c r="K3653" s="12"/>
      <c r="L3653" s="12"/>
      <c r="M3653" s="11"/>
      <c r="N3653" s="11"/>
      <c r="O3653" s="11"/>
      <c r="P3653" s="11"/>
    </row>
    <row r="3654" spans="8:16" x14ac:dyDescent="0.25">
      <c r="H3654" s="12"/>
      <c r="I3654" s="12"/>
      <c r="J3654" s="12"/>
      <c r="K3654" s="12"/>
      <c r="L3654" s="12"/>
      <c r="M3654" s="11"/>
      <c r="N3654" s="11"/>
      <c r="O3654" s="11"/>
      <c r="P3654" s="11"/>
    </row>
    <row r="3655" spans="8:16" x14ac:dyDescent="0.25">
      <c r="H3655" s="12"/>
      <c r="I3655" s="12"/>
      <c r="J3655" s="12"/>
      <c r="K3655" s="12"/>
      <c r="L3655" s="12"/>
      <c r="M3655" s="11"/>
      <c r="N3655" s="11"/>
      <c r="O3655" s="11"/>
      <c r="P3655" s="11"/>
    </row>
    <row r="3656" spans="8:16" x14ac:dyDescent="0.25">
      <c r="H3656" s="12"/>
      <c r="I3656" s="12"/>
      <c r="J3656" s="12"/>
      <c r="K3656" s="12"/>
      <c r="L3656" s="12"/>
      <c r="M3656" s="11"/>
      <c r="N3656" s="11"/>
      <c r="O3656" s="11"/>
      <c r="P3656" s="11"/>
    </row>
    <row r="3657" spans="8:16" x14ac:dyDescent="0.25">
      <c r="H3657" s="12"/>
      <c r="I3657" s="12"/>
      <c r="J3657" s="12"/>
      <c r="K3657" s="12"/>
      <c r="L3657" s="12"/>
      <c r="M3657" s="11"/>
      <c r="N3657" s="11"/>
      <c r="O3657" s="11"/>
      <c r="P3657" s="11"/>
    </row>
    <row r="3658" spans="8:16" x14ac:dyDescent="0.25">
      <c r="H3658" s="12"/>
      <c r="I3658" s="12"/>
      <c r="J3658" s="12"/>
      <c r="K3658" s="12"/>
      <c r="L3658" s="12"/>
      <c r="M3658" s="11"/>
      <c r="N3658" s="11"/>
      <c r="O3658" s="11"/>
      <c r="P3658" s="11"/>
    </row>
    <row r="3659" spans="8:16" x14ac:dyDescent="0.25">
      <c r="H3659" s="12"/>
      <c r="I3659" s="12"/>
      <c r="J3659" s="12"/>
      <c r="K3659" s="12"/>
      <c r="L3659" s="12"/>
      <c r="M3659" s="11"/>
      <c r="N3659" s="11"/>
      <c r="O3659" s="11"/>
      <c r="P3659" s="11"/>
    </row>
    <row r="3660" spans="8:16" x14ac:dyDescent="0.25">
      <c r="H3660" s="12"/>
      <c r="I3660" s="12"/>
      <c r="J3660" s="12"/>
      <c r="K3660" s="12"/>
      <c r="L3660" s="12"/>
      <c r="M3660" s="11"/>
      <c r="N3660" s="11"/>
      <c r="O3660" s="11"/>
      <c r="P3660" s="11"/>
    </row>
    <row r="3661" spans="8:16" x14ac:dyDescent="0.25">
      <c r="H3661" s="12"/>
      <c r="I3661" s="12"/>
      <c r="J3661" s="12"/>
      <c r="K3661" s="12"/>
      <c r="L3661" s="12"/>
      <c r="M3661" s="11"/>
      <c r="N3661" s="11"/>
      <c r="O3661" s="11"/>
      <c r="P3661" s="11"/>
    </row>
    <row r="3662" spans="8:16" x14ac:dyDescent="0.25">
      <c r="H3662" s="12"/>
      <c r="I3662" s="12"/>
      <c r="J3662" s="12"/>
      <c r="K3662" s="12"/>
      <c r="L3662" s="12"/>
      <c r="M3662" s="11"/>
      <c r="N3662" s="11"/>
      <c r="O3662" s="11"/>
      <c r="P3662" s="11"/>
    </row>
    <row r="3663" spans="8:16" x14ac:dyDescent="0.25">
      <c r="H3663" s="12"/>
      <c r="I3663" s="12"/>
      <c r="J3663" s="12"/>
      <c r="K3663" s="12"/>
      <c r="L3663" s="12"/>
      <c r="M3663" s="11"/>
      <c r="N3663" s="11"/>
      <c r="O3663" s="11"/>
      <c r="P3663" s="11"/>
    </row>
    <row r="3664" spans="8:16" x14ac:dyDescent="0.25">
      <c r="H3664" s="12"/>
      <c r="I3664" s="12"/>
      <c r="J3664" s="12"/>
      <c r="K3664" s="12"/>
      <c r="L3664" s="12"/>
      <c r="M3664" s="11"/>
      <c r="N3664" s="11"/>
      <c r="O3664" s="11"/>
      <c r="P3664" s="11"/>
    </row>
    <row r="3665" spans="8:16" x14ac:dyDescent="0.25">
      <c r="H3665" s="12"/>
      <c r="I3665" s="12"/>
      <c r="J3665" s="12"/>
      <c r="K3665" s="12"/>
      <c r="L3665" s="12"/>
      <c r="M3665" s="11"/>
      <c r="N3665" s="11"/>
      <c r="O3665" s="11"/>
      <c r="P3665" s="11"/>
    </row>
    <row r="3666" spans="8:16" x14ac:dyDescent="0.25">
      <c r="H3666" s="12"/>
      <c r="I3666" s="12"/>
      <c r="J3666" s="12"/>
      <c r="K3666" s="12"/>
      <c r="L3666" s="12"/>
      <c r="M3666" s="11"/>
      <c r="N3666" s="11"/>
      <c r="O3666" s="11"/>
      <c r="P3666" s="11"/>
    </row>
    <row r="3667" spans="8:16" x14ac:dyDescent="0.25">
      <c r="H3667" s="12"/>
      <c r="I3667" s="12"/>
      <c r="J3667" s="12"/>
      <c r="K3667" s="12"/>
      <c r="L3667" s="12"/>
      <c r="M3667" s="11"/>
      <c r="N3667" s="11"/>
      <c r="O3667" s="11"/>
      <c r="P3667" s="11"/>
    </row>
    <row r="3668" spans="8:16" x14ac:dyDescent="0.25">
      <c r="H3668" s="12"/>
      <c r="I3668" s="12"/>
      <c r="J3668" s="12"/>
      <c r="K3668" s="12"/>
      <c r="L3668" s="12"/>
      <c r="M3668" s="11"/>
      <c r="N3668" s="11"/>
      <c r="O3668" s="11"/>
      <c r="P3668" s="11"/>
    </row>
    <row r="3669" spans="8:16" x14ac:dyDescent="0.25">
      <c r="H3669" s="12"/>
      <c r="I3669" s="12"/>
      <c r="J3669" s="12"/>
      <c r="K3669" s="12"/>
      <c r="L3669" s="12"/>
      <c r="M3669" s="11"/>
      <c r="N3669" s="11"/>
      <c r="O3669" s="11"/>
      <c r="P3669" s="11"/>
    </row>
    <row r="3670" spans="8:16" x14ac:dyDescent="0.25">
      <c r="H3670" s="12"/>
      <c r="I3670" s="12"/>
      <c r="J3670" s="12"/>
      <c r="K3670" s="12"/>
      <c r="L3670" s="12"/>
      <c r="M3670" s="11"/>
      <c r="N3670" s="11"/>
      <c r="O3670" s="11"/>
      <c r="P3670" s="11"/>
    </row>
    <row r="3671" spans="8:16" x14ac:dyDescent="0.25">
      <c r="H3671" s="12"/>
      <c r="I3671" s="12"/>
      <c r="J3671" s="12"/>
      <c r="K3671" s="12"/>
      <c r="L3671" s="12"/>
      <c r="M3671" s="11"/>
      <c r="N3671" s="11"/>
      <c r="O3671" s="11"/>
      <c r="P3671" s="11"/>
    </row>
    <row r="3672" spans="8:16" x14ac:dyDescent="0.25">
      <c r="H3672" s="12"/>
      <c r="I3672" s="12"/>
      <c r="J3672" s="12"/>
      <c r="K3672" s="12"/>
      <c r="L3672" s="12"/>
      <c r="M3672" s="11"/>
      <c r="N3672" s="11"/>
      <c r="O3672" s="11"/>
      <c r="P3672" s="11"/>
    </row>
    <row r="3673" spans="8:16" x14ac:dyDescent="0.25">
      <c r="H3673" s="12"/>
      <c r="I3673" s="12"/>
      <c r="J3673" s="12"/>
      <c r="K3673" s="12"/>
      <c r="L3673" s="12"/>
      <c r="M3673" s="11"/>
      <c r="N3673" s="11"/>
      <c r="O3673" s="11"/>
      <c r="P3673" s="11"/>
    </row>
    <row r="3674" spans="8:16" x14ac:dyDescent="0.25">
      <c r="H3674" s="12"/>
      <c r="I3674" s="12"/>
      <c r="J3674" s="12"/>
      <c r="K3674" s="12"/>
      <c r="L3674" s="12"/>
      <c r="M3674" s="11"/>
      <c r="N3674" s="11"/>
      <c r="O3674" s="11"/>
      <c r="P3674" s="11"/>
    </row>
    <row r="3675" spans="8:16" x14ac:dyDescent="0.25">
      <c r="H3675" s="12"/>
      <c r="I3675" s="12"/>
      <c r="J3675" s="12"/>
      <c r="K3675" s="12"/>
      <c r="L3675" s="12"/>
      <c r="M3675" s="11"/>
      <c r="N3675" s="11"/>
      <c r="O3675" s="11"/>
      <c r="P3675" s="11"/>
    </row>
    <row r="3676" spans="8:16" x14ac:dyDescent="0.25">
      <c r="H3676" s="12"/>
      <c r="I3676" s="12"/>
      <c r="J3676" s="12"/>
      <c r="K3676" s="12"/>
      <c r="L3676" s="12"/>
      <c r="M3676" s="11"/>
      <c r="N3676" s="11"/>
      <c r="O3676" s="11"/>
      <c r="P3676" s="11"/>
    </row>
    <row r="3677" spans="8:16" x14ac:dyDescent="0.25">
      <c r="H3677" s="12"/>
      <c r="I3677" s="12"/>
      <c r="J3677" s="12"/>
      <c r="K3677" s="12"/>
      <c r="L3677" s="12"/>
      <c r="M3677" s="11"/>
      <c r="N3677" s="11"/>
      <c r="O3677" s="11"/>
      <c r="P3677" s="11"/>
    </row>
    <row r="3678" spans="8:16" x14ac:dyDescent="0.25">
      <c r="H3678" s="12"/>
      <c r="I3678" s="12"/>
      <c r="J3678" s="12"/>
      <c r="K3678" s="12"/>
      <c r="L3678" s="12"/>
      <c r="M3678" s="11"/>
      <c r="N3678" s="11"/>
      <c r="O3678" s="11"/>
      <c r="P3678" s="11"/>
    </row>
    <row r="3679" spans="8:16" x14ac:dyDescent="0.25">
      <c r="H3679" s="12"/>
      <c r="I3679" s="12"/>
      <c r="J3679" s="12"/>
      <c r="K3679" s="12"/>
      <c r="L3679" s="12"/>
      <c r="M3679" s="11"/>
      <c r="N3679" s="11"/>
      <c r="O3679" s="11"/>
      <c r="P3679" s="11"/>
    </row>
    <row r="3680" spans="8:16" x14ac:dyDescent="0.25">
      <c r="H3680" s="12"/>
      <c r="I3680" s="12"/>
      <c r="J3680" s="12"/>
      <c r="K3680" s="12"/>
      <c r="L3680" s="12"/>
      <c r="M3680" s="11"/>
      <c r="N3680" s="11"/>
      <c r="O3680" s="11"/>
      <c r="P3680" s="11"/>
    </row>
    <row r="3681" spans="8:16" x14ac:dyDescent="0.25">
      <c r="H3681" s="12"/>
      <c r="I3681" s="12"/>
      <c r="J3681" s="12"/>
      <c r="K3681" s="12"/>
      <c r="L3681" s="12"/>
      <c r="M3681" s="11"/>
      <c r="N3681" s="11"/>
      <c r="O3681" s="11"/>
      <c r="P3681" s="11"/>
    </row>
    <row r="3682" spans="8:16" x14ac:dyDescent="0.25">
      <c r="H3682" s="12"/>
      <c r="I3682" s="12"/>
      <c r="J3682" s="12"/>
      <c r="K3682" s="12"/>
      <c r="L3682" s="12"/>
      <c r="M3682" s="11"/>
      <c r="N3682" s="11"/>
      <c r="O3682" s="11"/>
      <c r="P3682" s="11"/>
    </row>
    <row r="3683" spans="8:16" x14ac:dyDescent="0.25">
      <c r="H3683" s="12"/>
      <c r="I3683" s="12"/>
      <c r="J3683" s="12"/>
      <c r="K3683" s="12"/>
      <c r="L3683" s="12"/>
      <c r="M3683" s="11"/>
      <c r="N3683" s="11"/>
      <c r="O3683" s="11"/>
      <c r="P3683" s="11"/>
    </row>
    <row r="3684" spans="8:16" x14ac:dyDescent="0.25">
      <c r="H3684" s="12"/>
      <c r="I3684" s="12"/>
      <c r="J3684" s="12"/>
      <c r="K3684" s="12"/>
      <c r="L3684" s="12"/>
      <c r="M3684" s="11"/>
      <c r="N3684" s="11"/>
      <c r="O3684" s="11"/>
      <c r="P3684" s="11"/>
    </row>
    <row r="3685" spans="8:16" x14ac:dyDescent="0.25">
      <c r="H3685" s="12"/>
      <c r="I3685" s="12"/>
      <c r="J3685" s="12"/>
      <c r="K3685" s="12"/>
      <c r="L3685" s="12"/>
      <c r="M3685" s="11"/>
      <c r="N3685" s="11"/>
      <c r="O3685" s="11"/>
      <c r="P3685" s="11"/>
    </row>
    <row r="3686" spans="8:16" x14ac:dyDescent="0.25">
      <c r="H3686" s="12"/>
      <c r="I3686" s="12"/>
      <c r="J3686" s="12"/>
      <c r="K3686" s="12"/>
      <c r="L3686" s="12"/>
      <c r="M3686" s="11"/>
      <c r="N3686" s="11"/>
      <c r="O3686" s="11"/>
      <c r="P3686" s="11"/>
    </row>
    <row r="3687" spans="8:16" x14ac:dyDescent="0.25">
      <c r="H3687" s="12"/>
      <c r="I3687" s="12"/>
      <c r="J3687" s="12"/>
      <c r="K3687" s="12"/>
      <c r="L3687" s="12"/>
      <c r="M3687" s="11"/>
      <c r="N3687" s="11"/>
      <c r="O3687" s="11"/>
      <c r="P3687" s="11"/>
    </row>
    <row r="3688" spans="8:16" x14ac:dyDescent="0.25">
      <c r="H3688" s="12"/>
      <c r="I3688" s="12"/>
      <c r="J3688" s="12"/>
      <c r="K3688" s="12"/>
      <c r="L3688" s="12"/>
      <c r="M3688" s="11"/>
      <c r="N3688" s="11"/>
      <c r="O3688" s="11"/>
      <c r="P3688" s="11"/>
    </row>
    <row r="3689" spans="8:16" x14ac:dyDescent="0.25">
      <c r="H3689" s="12"/>
      <c r="I3689" s="12"/>
      <c r="J3689" s="12"/>
      <c r="K3689" s="12"/>
      <c r="L3689" s="12"/>
      <c r="M3689" s="11"/>
      <c r="N3689" s="11"/>
      <c r="O3689" s="11"/>
      <c r="P3689" s="11"/>
    </row>
    <row r="3690" spans="8:16" x14ac:dyDescent="0.25">
      <c r="H3690" s="12"/>
      <c r="I3690" s="12"/>
      <c r="J3690" s="12"/>
      <c r="K3690" s="12"/>
      <c r="L3690" s="12"/>
      <c r="M3690" s="11"/>
      <c r="N3690" s="11"/>
      <c r="O3690" s="11"/>
      <c r="P3690" s="11"/>
    </row>
    <row r="3691" spans="8:16" x14ac:dyDescent="0.25">
      <c r="H3691" s="12"/>
      <c r="I3691" s="12"/>
      <c r="J3691" s="12"/>
      <c r="K3691" s="12"/>
      <c r="L3691" s="12"/>
      <c r="M3691" s="11"/>
      <c r="N3691" s="11"/>
      <c r="O3691" s="11"/>
      <c r="P3691" s="11"/>
    </row>
    <row r="3692" spans="8:16" x14ac:dyDescent="0.25">
      <c r="H3692" s="12"/>
      <c r="I3692" s="12"/>
      <c r="J3692" s="12"/>
      <c r="K3692" s="12"/>
      <c r="L3692" s="12"/>
      <c r="M3692" s="11"/>
      <c r="N3692" s="11"/>
      <c r="O3692" s="11"/>
      <c r="P3692" s="11"/>
    </row>
    <row r="3693" spans="8:16" x14ac:dyDescent="0.25">
      <c r="H3693" s="12"/>
      <c r="I3693" s="12"/>
      <c r="J3693" s="12"/>
      <c r="K3693" s="12"/>
      <c r="L3693" s="12"/>
      <c r="M3693" s="11"/>
      <c r="N3693" s="11"/>
      <c r="O3693" s="11"/>
      <c r="P3693" s="11"/>
    </row>
    <row r="3694" spans="8:16" x14ac:dyDescent="0.25">
      <c r="H3694" s="12"/>
      <c r="I3694" s="12"/>
      <c r="J3694" s="12"/>
      <c r="K3694" s="12"/>
      <c r="L3694" s="12"/>
      <c r="M3694" s="11"/>
      <c r="N3694" s="11"/>
      <c r="O3694" s="11"/>
      <c r="P3694" s="11"/>
    </row>
    <row r="3695" spans="8:16" x14ac:dyDescent="0.25">
      <c r="H3695" s="12"/>
      <c r="I3695" s="12"/>
      <c r="J3695" s="12"/>
      <c r="K3695" s="12"/>
      <c r="L3695" s="12"/>
      <c r="M3695" s="11"/>
      <c r="N3695" s="11"/>
      <c r="O3695" s="11"/>
      <c r="P3695" s="11"/>
    </row>
    <row r="3696" spans="8:16" x14ac:dyDescent="0.25">
      <c r="H3696" s="12"/>
      <c r="I3696" s="12"/>
      <c r="J3696" s="12"/>
      <c r="K3696" s="12"/>
      <c r="L3696" s="12"/>
      <c r="M3696" s="11"/>
      <c r="N3696" s="11"/>
      <c r="O3696" s="11"/>
      <c r="P3696" s="11"/>
    </row>
    <row r="3697" spans="8:16" x14ac:dyDescent="0.25">
      <c r="H3697" s="12"/>
      <c r="I3697" s="12"/>
      <c r="J3697" s="12"/>
      <c r="K3697" s="12"/>
      <c r="L3697" s="12"/>
      <c r="M3697" s="11"/>
      <c r="N3697" s="11"/>
      <c r="O3697" s="11"/>
      <c r="P3697" s="11"/>
    </row>
    <row r="3698" spans="8:16" x14ac:dyDescent="0.25">
      <c r="H3698" s="12"/>
      <c r="I3698" s="12"/>
      <c r="J3698" s="12"/>
      <c r="K3698" s="12"/>
      <c r="L3698" s="12"/>
      <c r="M3698" s="11"/>
      <c r="N3698" s="11"/>
      <c r="O3698" s="11"/>
      <c r="P3698" s="11"/>
    </row>
    <row r="3699" spans="8:16" x14ac:dyDescent="0.25">
      <c r="H3699" s="12"/>
      <c r="I3699" s="12"/>
      <c r="J3699" s="12"/>
      <c r="K3699" s="12"/>
      <c r="L3699" s="12"/>
      <c r="M3699" s="11"/>
      <c r="N3699" s="11"/>
      <c r="O3699" s="11"/>
      <c r="P3699" s="11"/>
    </row>
    <row r="3700" spans="8:16" x14ac:dyDescent="0.25">
      <c r="H3700" s="12"/>
      <c r="I3700" s="12"/>
      <c r="J3700" s="12"/>
      <c r="K3700" s="12"/>
      <c r="L3700" s="12"/>
      <c r="M3700" s="11"/>
      <c r="N3700" s="11"/>
      <c r="O3700" s="11"/>
      <c r="P3700" s="11"/>
    </row>
    <row r="3701" spans="8:16" x14ac:dyDescent="0.25">
      <c r="H3701" s="12"/>
      <c r="I3701" s="12"/>
      <c r="J3701" s="12"/>
      <c r="K3701" s="12"/>
      <c r="L3701" s="12"/>
      <c r="M3701" s="11"/>
      <c r="N3701" s="11"/>
      <c r="O3701" s="11"/>
      <c r="P3701" s="11"/>
    </row>
    <row r="3702" spans="8:16" x14ac:dyDescent="0.25">
      <c r="H3702" s="12"/>
      <c r="I3702" s="12"/>
      <c r="J3702" s="12"/>
      <c r="K3702" s="12"/>
      <c r="L3702" s="12"/>
      <c r="M3702" s="11"/>
      <c r="N3702" s="11"/>
      <c r="O3702" s="11"/>
      <c r="P3702" s="11"/>
    </row>
    <row r="3703" spans="8:16" x14ac:dyDescent="0.25">
      <c r="H3703" s="12"/>
      <c r="I3703" s="12"/>
      <c r="J3703" s="12"/>
      <c r="K3703" s="12"/>
      <c r="L3703" s="12"/>
      <c r="M3703" s="11"/>
      <c r="N3703" s="11"/>
      <c r="O3703" s="11"/>
      <c r="P3703" s="11"/>
    </row>
    <row r="3704" spans="8:16" x14ac:dyDescent="0.25">
      <c r="H3704" s="12"/>
      <c r="I3704" s="12"/>
      <c r="J3704" s="12"/>
      <c r="K3704" s="12"/>
      <c r="L3704" s="12"/>
      <c r="M3704" s="11"/>
      <c r="N3704" s="11"/>
      <c r="O3704" s="11"/>
      <c r="P3704" s="11"/>
    </row>
    <row r="3705" spans="8:16" x14ac:dyDescent="0.25">
      <c r="H3705" s="12"/>
      <c r="I3705" s="12"/>
      <c r="J3705" s="12"/>
      <c r="K3705" s="12"/>
      <c r="L3705" s="12"/>
      <c r="M3705" s="11"/>
      <c r="N3705" s="11"/>
      <c r="O3705" s="11"/>
      <c r="P3705" s="11"/>
    </row>
    <row r="3706" spans="8:16" x14ac:dyDescent="0.25">
      <c r="H3706" s="12"/>
      <c r="I3706" s="12"/>
      <c r="J3706" s="12"/>
      <c r="K3706" s="12"/>
      <c r="L3706" s="12"/>
      <c r="M3706" s="11"/>
      <c r="N3706" s="11"/>
      <c r="O3706" s="11"/>
      <c r="P3706" s="11"/>
    </row>
    <row r="3707" spans="8:16" x14ac:dyDescent="0.25">
      <c r="H3707" s="12"/>
      <c r="I3707" s="12"/>
      <c r="J3707" s="12"/>
      <c r="K3707" s="12"/>
      <c r="L3707" s="12"/>
      <c r="M3707" s="11"/>
      <c r="N3707" s="11"/>
      <c r="O3707" s="11"/>
      <c r="P3707" s="11"/>
    </row>
    <row r="3708" spans="8:16" x14ac:dyDescent="0.25">
      <c r="H3708" s="12"/>
      <c r="I3708" s="12"/>
      <c r="J3708" s="12"/>
      <c r="K3708" s="12"/>
      <c r="L3708" s="12"/>
      <c r="M3708" s="11"/>
      <c r="N3708" s="11"/>
      <c r="O3708" s="11"/>
      <c r="P3708" s="11"/>
    </row>
    <row r="3709" spans="8:16" x14ac:dyDescent="0.25">
      <c r="H3709" s="12"/>
      <c r="I3709" s="12"/>
      <c r="J3709" s="12"/>
      <c r="K3709" s="12"/>
      <c r="L3709" s="12"/>
      <c r="M3709" s="11"/>
      <c r="N3709" s="11"/>
      <c r="O3709" s="11"/>
      <c r="P3709" s="11"/>
    </row>
    <row r="3710" spans="8:16" x14ac:dyDescent="0.25">
      <c r="H3710" s="12"/>
      <c r="I3710" s="12"/>
      <c r="J3710" s="12"/>
      <c r="K3710" s="12"/>
      <c r="L3710" s="12"/>
      <c r="M3710" s="11"/>
      <c r="N3710" s="11"/>
      <c r="O3710" s="11"/>
      <c r="P3710" s="11"/>
    </row>
    <row r="3711" spans="8:16" x14ac:dyDescent="0.25">
      <c r="H3711" s="12"/>
      <c r="I3711" s="12"/>
      <c r="J3711" s="12"/>
      <c r="K3711" s="12"/>
      <c r="L3711" s="12"/>
      <c r="M3711" s="11"/>
      <c r="N3711" s="11"/>
      <c r="O3711" s="11"/>
      <c r="P3711" s="11"/>
    </row>
    <row r="3712" spans="8:16" x14ac:dyDescent="0.25">
      <c r="H3712" s="12"/>
      <c r="I3712" s="12"/>
      <c r="J3712" s="12"/>
      <c r="K3712" s="12"/>
      <c r="L3712" s="12"/>
      <c r="M3712" s="11"/>
      <c r="N3712" s="11"/>
      <c r="O3712" s="11"/>
      <c r="P3712" s="11"/>
    </row>
    <row r="3713" spans="8:16" x14ac:dyDescent="0.25">
      <c r="H3713" s="12"/>
      <c r="I3713" s="12"/>
      <c r="J3713" s="12"/>
      <c r="K3713" s="12"/>
      <c r="L3713" s="12"/>
      <c r="M3713" s="11"/>
      <c r="N3713" s="11"/>
      <c r="O3713" s="11"/>
      <c r="P3713" s="11"/>
    </row>
    <row r="3714" spans="8:16" x14ac:dyDescent="0.25">
      <c r="H3714" s="12"/>
      <c r="I3714" s="12"/>
      <c r="J3714" s="12"/>
      <c r="K3714" s="12"/>
      <c r="L3714" s="12"/>
      <c r="M3714" s="11"/>
      <c r="N3714" s="11"/>
      <c r="O3714" s="11"/>
      <c r="P3714" s="11"/>
    </row>
    <row r="3715" spans="8:16" x14ac:dyDescent="0.25">
      <c r="H3715" s="12"/>
      <c r="I3715" s="12"/>
      <c r="J3715" s="12"/>
      <c r="K3715" s="12"/>
      <c r="L3715" s="12"/>
      <c r="M3715" s="11"/>
      <c r="N3715" s="11"/>
      <c r="O3715" s="11"/>
      <c r="P3715" s="11"/>
    </row>
    <row r="3716" spans="8:16" x14ac:dyDescent="0.25">
      <c r="H3716" s="12"/>
      <c r="I3716" s="12"/>
      <c r="J3716" s="12"/>
      <c r="K3716" s="12"/>
      <c r="L3716" s="12"/>
      <c r="M3716" s="11"/>
      <c r="N3716" s="11"/>
      <c r="O3716" s="11"/>
      <c r="P3716" s="11"/>
    </row>
    <row r="3717" spans="8:16" x14ac:dyDescent="0.25">
      <c r="H3717" s="12"/>
      <c r="I3717" s="12"/>
      <c r="J3717" s="12"/>
      <c r="K3717" s="12"/>
      <c r="L3717" s="12"/>
      <c r="M3717" s="11"/>
      <c r="N3717" s="11"/>
      <c r="O3717" s="11"/>
      <c r="P3717" s="11"/>
    </row>
    <row r="3718" spans="8:16" x14ac:dyDescent="0.25">
      <c r="H3718" s="12"/>
      <c r="I3718" s="12"/>
      <c r="J3718" s="12"/>
      <c r="K3718" s="12"/>
      <c r="L3718" s="12"/>
      <c r="M3718" s="11"/>
      <c r="N3718" s="11"/>
      <c r="O3718" s="11"/>
      <c r="P3718" s="11"/>
    </row>
    <row r="3719" spans="8:16" x14ac:dyDescent="0.25">
      <c r="H3719" s="12"/>
      <c r="I3719" s="12"/>
      <c r="J3719" s="12"/>
      <c r="K3719" s="12"/>
      <c r="L3719" s="12"/>
      <c r="M3719" s="11"/>
      <c r="N3719" s="11"/>
      <c r="O3719" s="11"/>
      <c r="P3719" s="11"/>
    </row>
    <row r="3720" spans="8:16" x14ac:dyDescent="0.25">
      <c r="H3720" s="12"/>
      <c r="I3720" s="12"/>
      <c r="J3720" s="12"/>
      <c r="K3720" s="12"/>
      <c r="L3720" s="12"/>
      <c r="M3720" s="11"/>
      <c r="N3720" s="11"/>
      <c r="O3720" s="11"/>
      <c r="P3720" s="11"/>
    </row>
    <row r="3721" spans="8:16" x14ac:dyDescent="0.25">
      <c r="H3721" s="12"/>
      <c r="I3721" s="12"/>
      <c r="J3721" s="12"/>
      <c r="K3721" s="12"/>
      <c r="L3721" s="12"/>
      <c r="M3721" s="11"/>
      <c r="N3721" s="11"/>
      <c r="O3721" s="11"/>
      <c r="P3721" s="11"/>
    </row>
    <row r="3722" spans="8:16" x14ac:dyDescent="0.25">
      <c r="H3722" s="12"/>
      <c r="I3722" s="12"/>
      <c r="J3722" s="12"/>
      <c r="K3722" s="12"/>
      <c r="L3722" s="12"/>
      <c r="M3722" s="11"/>
      <c r="N3722" s="11"/>
      <c r="O3722" s="11"/>
      <c r="P3722" s="11"/>
    </row>
    <row r="3723" spans="8:16" x14ac:dyDescent="0.25">
      <c r="H3723" s="12"/>
      <c r="I3723" s="12"/>
      <c r="J3723" s="12"/>
      <c r="K3723" s="12"/>
      <c r="L3723" s="12"/>
      <c r="M3723" s="11"/>
      <c r="N3723" s="11"/>
      <c r="O3723" s="11"/>
      <c r="P3723" s="11"/>
    </row>
    <row r="3724" spans="8:16" x14ac:dyDescent="0.25">
      <c r="H3724" s="12"/>
      <c r="I3724" s="12"/>
      <c r="J3724" s="12"/>
      <c r="K3724" s="12"/>
      <c r="L3724" s="12"/>
      <c r="M3724" s="11"/>
      <c r="N3724" s="11"/>
      <c r="O3724" s="11"/>
      <c r="P3724" s="11"/>
    </row>
    <row r="3725" spans="8:16" x14ac:dyDescent="0.25">
      <c r="H3725" s="12"/>
      <c r="I3725" s="12"/>
      <c r="J3725" s="12"/>
      <c r="K3725" s="12"/>
      <c r="L3725" s="12"/>
      <c r="M3725" s="11"/>
      <c r="N3725" s="11"/>
      <c r="O3725" s="11"/>
      <c r="P3725" s="11"/>
    </row>
    <row r="3726" spans="8:16" x14ac:dyDescent="0.25">
      <c r="H3726" s="12"/>
      <c r="I3726" s="12"/>
      <c r="J3726" s="12"/>
      <c r="K3726" s="12"/>
      <c r="L3726" s="12"/>
      <c r="M3726" s="11"/>
      <c r="N3726" s="11"/>
      <c r="O3726" s="11"/>
      <c r="P3726" s="11"/>
    </row>
    <row r="3727" spans="8:16" x14ac:dyDescent="0.25">
      <c r="H3727" s="12"/>
      <c r="I3727" s="12"/>
      <c r="J3727" s="12"/>
      <c r="K3727" s="12"/>
      <c r="L3727" s="12"/>
      <c r="M3727" s="11"/>
      <c r="N3727" s="11"/>
      <c r="O3727" s="11"/>
      <c r="P3727" s="11"/>
    </row>
    <row r="3728" spans="8:16" x14ac:dyDescent="0.25">
      <c r="H3728" s="12"/>
      <c r="I3728" s="12"/>
      <c r="J3728" s="12"/>
      <c r="K3728" s="12"/>
      <c r="L3728" s="12"/>
      <c r="M3728" s="11"/>
      <c r="N3728" s="11"/>
      <c r="O3728" s="11"/>
      <c r="P3728" s="11"/>
    </row>
    <row r="3729" spans="8:16" x14ac:dyDescent="0.25">
      <c r="H3729" s="12"/>
      <c r="I3729" s="12"/>
      <c r="J3729" s="12"/>
      <c r="K3729" s="12"/>
      <c r="L3729" s="12"/>
      <c r="M3729" s="11"/>
      <c r="N3729" s="11"/>
      <c r="O3729" s="11"/>
      <c r="P3729" s="11"/>
    </row>
    <row r="3730" spans="8:16" x14ac:dyDescent="0.25">
      <c r="H3730" s="12"/>
      <c r="I3730" s="12"/>
      <c r="J3730" s="12"/>
      <c r="K3730" s="12"/>
      <c r="L3730" s="12"/>
      <c r="M3730" s="11"/>
      <c r="N3730" s="11"/>
      <c r="O3730" s="11"/>
      <c r="P3730" s="11"/>
    </row>
    <row r="3731" spans="8:16" x14ac:dyDescent="0.25">
      <c r="H3731" s="12"/>
      <c r="I3731" s="12"/>
      <c r="J3731" s="12"/>
      <c r="K3731" s="12"/>
      <c r="L3731" s="12"/>
      <c r="M3731" s="11"/>
      <c r="N3731" s="11"/>
      <c r="O3731" s="11"/>
      <c r="P3731" s="11"/>
    </row>
    <row r="3732" spans="8:16" x14ac:dyDescent="0.25">
      <c r="H3732" s="12"/>
      <c r="I3732" s="12"/>
      <c r="J3732" s="12"/>
      <c r="K3732" s="12"/>
      <c r="L3732" s="12"/>
      <c r="M3732" s="11"/>
      <c r="N3732" s="11"/>
      <c r="O3732" s="11"/>
      <c r="P3732" s="11"/>
    </row>
    <row r="3733" spans="8:16" x14ac:dyDescent="0.25">
      <c r="H3733" s="12"/>
      <c r="I3733" s="12"/>
      <c r="J3733" s="12"/>
      <c r="K3733" s="12"/>
      <c r="L3733" s="12"/>
      <c r="M3733" s="11"/>
      <c r="N3733" s="11"/>
      <c r="O3733" s="11"/>
      <c r="P3733" s="11"/>
    </row>
    <row r="3734" spans="8:16" x14ac:dyDescent="0.25">
      <c r="H3734" s="12"/>
      <c r="I3734" s="12"/>
      <c r="J3734" s="12"/>
      <c r="K3734" s="12"/>
      <c r="L3734" s="12"/>
      <c r="M3734" s="11"/>
      <c r="N3734" s="11"/>
      <c r="O3734" s="11"/>
      <c r="P3734" s="11"/>
    </row>
    <row r="3735" spans="8:16" x14ac:dyDescent="0.25">
      <c r="H3735" s="12"/>
      <c r="I3735" s="12"/>
      <c r="J3735" s="12"/>
      <c r="K3735" s="12"/>
      <c r="L3735" s="12"/>
      <c r="M3735" s="11"/>
      <c r="N3735" s="11"/>
      <c r="O3735" s="11"/>
      <c r="P3735" s="11"/>
    </row>
    <row r="3736" spans="8:16" x14ac:dyDescent="0.25">
      <c r="H3736" s="12"/>
      <c r="I3736" s="12"/>
      <c r="J3736" s="12"/>
      <c r="K3736" s="12"/>
      <c r="L3736" s="12"/>
      <c r="M3736" s="11"/>
      <c r="N3736" s="11"/>
      <c r="O3736" s="11"/>
      <c r="P3736" s="11"/>
    </row>
    <row r="3737" spans="8:16" x14ac:dyDescent="0.25">
      <c r="H3737" s="12"/>
      <c r="I3737" s="12"/>
      <c r="J3737" s="12"/>
      <c r="K3737" s="12"/>
      <c r="L3737" s="12"/>
      <c r="M3737" s="11"/>
      <c r="N3737" s="11"/>
      <c r="O3737" s="11"/>
      <c r="P3737" s="11"/>
    </row>
    <row r="3738" spans="8:16" x14ac:dyDescent="0.25">
      <c r="H3738" s="12"/>
      <c r="I3738" s="12"/>
      <c r="J3738" s="12"/>
      <c r="K3738" s="12"/>
      <c r="L3738" s="12"/>
      <c r="M3738" s="11"/>
      <c r="N3738" s="11"/>
      <c r="O3738" s="11"/>
      <c r="P3738" s="11"/>
    </row>
    <row r="3739" spans="8:16" x14ac:dyDescent="0.25">
      <c r="H3739" s="12"/>
      <c r="I3739" s="12"/>
      <c r="J3739" s="12"/>
      <c r="K3739" s="12"/>
      <c r="L3739" s="12"/>
      <c r="M3739" s="11"/>
      <c r="N3739" s="11"/>
      <c r="O3739" s="11"/>
      <c r="P3739" s="11"/>
    </row>
    <row r="3740" spans="8:16" x14ac:dyDescent="0.25">
      <c r="H3740" s="12"/>
      <c r="I3740" s="12"/>
      <c r="J3740" s="12"/>
      <c r="K3740" s="12"/>
      <c r="L3740" s="12"/>
      <c r="M3740" s="11"/>
      <c r="N3740" s="11"/>
      <c r="O3740" s="11"/>
      <c r="P3740" s="11"/>
    </row>
    <row r="3741" spans="8:16" x14ac:dyDescent="0.25">
      <c r="H3741" s="12"/>
      <c r="I3741" s="12"/>
      <c r="J3741" s="12"/>
      <c r="K3741" s="12"/>
      <c r="L3741" s="12"/>
      <c r="M3741" s="11"/>
      <c r="N3741" s="11"/>
      <c r="O3741" s="11"/>
      <c r="P3741" s="11"/>
    </row>
    <row r="3742" spans="8:16" x14ac:dyDescent="0.25">
      <c r="H3742" s="12"/>
      <c r="I3742" s="12"/>
      <c r="J3742" s="12"/>
      <c r="K3742" s="12"/>
      <c r="L3742" s="12"/>
      <c r="M3742" s="11"/>
      <c r="N3742" s="11"/>
      <c r="O3742" s="11"/>
      <c r="P3742" s="11"/>
    </row>
    <row r="3743" spans="8:16" x14ac:dyDescent="0.25">
      <c r="H3743" s="12"/>
      <c r="I3743" s="12"/>
      <c r="J3743" s="12"/>
      <c r="K3743" s="12"/>
      <c r="L3743" s="12"/>
      <c r="M3743" s="11"/>
      <c r="N3743" s="11"/>
      <c r="O3743" s="11"/>
      <c r="P3743" s="11"/>
    </row>
    <row r="3744" spans="8:16" x14ac:dyDescent="0.25">
      <c r="H3744" s="12"/>
      <c r="I3744" s="12"/>
      <c r="J3744" s="12"/>
      <c r="K3744" s="12"/>
      <c r="L3744" s="12"/>
      <c r="M3744" s="11"/>
      <c r="N3744" s="11"/>
      <c r="O3744" s="11"/>
      <c r="P3744" s="11"/>
    </row>
    <row r="3745" spans="8:16" x14ac:dyDescent="0.25">
      <c r="H3745" s="12"/>
      <c r="I3745" s="12"/>
      <c r="J3745" s="12"/>
      <c r="K3745" s="12"/>
      <c r="L3745" s="12"/>
      <c r="M3745" s="11"/>
      <c r="N3745" s="11"/>
      <c r="O3745" s="11"/>
      <c r="P3745" s="11"/>
    </row>
    <row r="3746" spans="8:16" x14ac:dyDescent="0.25">
      <c r="H3746" s="12"/>
      <c r="I3746" s="12"/>
      <c r="J3746" s="12"/>
      <c r="K3746" s="12"/>
      <c r="L3746" s="12"/>
      <c r="M3746" s="11"/>
      <c r="N3746" s="11"/>
      <c r="O3746" s="11"/>
      <c r="P3746" s="11"/>
    </row>
    <row r="3747" spans="8:16" x14ac:dyDescent="0.25">
      <c r="H3747" s="12"/>
      <c r="I3747" s="12"/>
      <c r="J3747" s="12"/>
      <c r="K3747" s="12"/>
      <c r="L3747" s="12"/>
      <c r="M3747" s="11"/>
      <c r="N3747" s="11"/>
      <c r="O3747" s="11"/>
      <c r="P3747" s="11"/>
    </row>
    <row r="3748" spans="8:16" x14ac:dyDescent="0.25">
      <c r="H3748" s="12"/>
      <c r="I3748" s="12"/>
      <c r="J3748" s="12"/>
      <c r="K3748" s="12"/>
      <c r="L3748" s="12"/>
      <c r="M3748" s="11"/>
      <c r="N3748" s="11"/>
      <c r="O3748" s="11"/>
      <c r="P3748" s="11"/>
    </row>
    <row r="3749" spans="8:16" x14ac:dyDescent="0.25">
      <c r="H3749" s="12"/>
      <c r="I3749" s="12"/>
      <c r="J3749" s="12"/>
      <c r="K3749" s="12"/>
      <c r="L3749" s="12"/>
      <c r="M3749" s="11"/>
      <c r="N3749" s="11"/>
      <c r="O3749" s="11"/>
      <c r="P3749" s="11"/>
    </row>
    <row r="3750" spans="8:16" x14ac:dyDescent="0.25">
      <c r="H3750" s="12"/>
      <c r="I3750" s="12"/>
      <c r="J3750" s="12"/>
      <c r="K3750" s="12"/>
      <c r="L3750" s="12"/>
      <c r="M3750" s="11"/>
      <c r="N3750" s="11"/>
      <c r="O3750" s="11"/>
      <c r="P3750" s="11"/>
    </row>
    <row r="3751" spans="8:16" x14ac:dyDescent="0.25">
      <c r="H3751" s="12"/>
      <c r="I3751" s="12"/>
      <c r="J3751" s="12"/>
      <c r="K3751" s="12"/>
      <c r="L3751" s="12"/>
      <c r="M3751" s="11"/>
      <c r="N3751" s="11"/>
      <c r="O3751" s="11"/>
      <c r="P3751" s="11"/>
    </row>
    <row r="3752" spans="8:16" x14ac:dyDescent="0.25">
      <c r="H3752" s="12"/>
      <c r="I3752" s="12"/>
      <c r="J3752" s="12"/>
      <c r="K3752" s="12"/>
      <c r="L3752" s="12"/>
      <c r="M3752" s="11"/>
      <c r="N3752" s="11"/>
      <c r="O3752" s="11"/>
      <c r="P3752" s="11"/>
    </row>
    <row r="3753" spans="8:16" x14ac:dyDescent="0.25">
      <c r="H3753" s="12"/>
      <c r="I3753" s="12"/>
      <c r="J3753" s="12"/>
      <c r="K3753" s="12"/>
      <c r="L3753" s="12"/>
      <c r="M3753" s="11"/>
      <c r="N3753" s="11"/>
      <c r="O3753" s="11"/>
      <c r="P3753" s="11"/>
    </row>
    <row r="3754" spans="8:16" x14ac:dyDescent="0.25">
      <c r="H3754" s="12"/>
      <c r="I3754" s="12"/>
      <c r="J3754" s="12"/>
      <c r="K3754" s="12"/>
      <c r="L3754" s="12"/>
      <c r="M3754" s="11"/>
      <c r="N3754" s="11"/>
      <c r="O3754" s="11"/>
      <c r="P3754" s="11"/>
    </row>
    <row r="3755" spans="8:16" x14ac:dyDescent="0.25">
      <c r="H3755" s="12"/>
      <c r="I3755" s="12"/>
      <c r="J3755" s="12"/>
      <c r="K3755" s="12"/>
      <c r="L3755" s="12"/>
      <c r="M3755" s="11"/>
      <c r="N3755" s="11"/>
      <c r="O3755" s="11"/>
      <c r="P3755" s="11"/>
    </row>
    <row r="3756" spans="8:16" x14ac:dyDescent="0.25">
      <c r="H3756" s="12"/>
      <c r="I3756" s="12"/>
      <c r="J3756" s="12"/>
      <c r="K3756" s="12"/>
      <c r="L3756" s="12"/>
      <c r="M3756" s="11"/>
      <c r="N3756" s="11"/>
      <c r="O3756" s="11"/>
      <c r="P3756" s="11"/>
    </row>
    <row r="3757" spans="8:16" x14ac:dyDescent="0.25">
      <c r="H3757" s="12"/>
      <c r="I3757" s="12"/>
      <c r="J3757" s="12"/>
      <c r="K3757" s="12"/>
      <c r="L3757" s="12"/>
      <c r="M3757" s="11"/>
      <c r="N3757" s="11"/>
      <c r="O3757" s="11"/>
      <c r="P3757" s="11"/>
    </row>
    <row r="3758" spans="8:16" x14ac:dyDescent="0.25">
      <c r="H3758" s="12"/>
      <c r="I3758" s="12"/>
      <c r="J3758" s="12"/>
      <c r="K3758" s="12"/>
      <c r="L3758" s="12"/>
      <c r="M3758" s="11"/>
      <c r="N3758" s="11"/>
      <c r="O3758" s="11"/>
      <c r="P3758" s="11"/>
    </row>
    <row r="3759" spans="8:16" x14ac:dyDescent="0.25">
      <c r="H3759" s="12"/>
      <c r="I3759" s="12"/>
      <c r="J3759" s="12"/>
      <c r="K3759" s="12"/>
      <c r="L3759" s="12"/>
      <c r="M3759" s="11"/>
      <c r="N3759" s="11"/>
      <c r="O3759" s="11"/>
      <c r="P3759" s="11"/>
    </row>
    <row r="3760" spans="8:16" x14ac:dyDescent="0.25">
      <c r="H3760" s="12"/>
      <c r="I3760" s="12"/>
      <c r="J3760" s="12"/>
      <c r="K3760" s="12"/>
      <c r="L3760" s="12"/>
      <c r="M3760" s="11"/>
      <c r="N3760" s="11"/>
      <c r="O3760" s="11"/>
      <c r="P3760" s="11"/>
    </row>
    <row r="3761" spans="8:16" x14ac:dyDescent="0.25">
      <c r="H3761" s="12"/>
      <c r="I3761" s="12"/>
      <c r="J3761" s="12"/>
      <c r="K3761" s="12"/>
      <c r="L3761" s="12"/>
      <c r="M3761" s="11"/>
      <c r="N3761" s="11"/>
      <c r="O3761" s="11"/>
      <c r="P3761" s="11"/>
    </row>
    <row r="3762" spans="8:16" x14ac:dyDescent="0.25">
      <c r="H3762" s="12"/>
      <c r="I3762" s="12"/>
      <c r="J3762" s="12"/>
      <c r="K3762" s="12"/>
      <c r="L3762" s="12"/>
      <c r="M3762" s="11"/>
      <c r="N3762" s="11"/>
      <c r="O3762" s="11"/>
      <c r="P3762" s="11"/>
    </row>
    <row r="3763" spans="8:16" x14ac:dyDescent="0.25">
      <c r="H3763" s="12"/>
      <c r="I3763" s="12"/>
      <c r="J3763" s="12"/>
      <c r="K3763" s="12"/>
      <c r="L3763" s="12"/>
      <c r="M3763" s="11"/>
      <c r="N3763" s="11"/>
      <c r="O3763" s="11"/>
      <c r="P3763" s="11"/>
    </row>
    <row r="3764" spans="8:16" x14ac:dyDescent="0.25">
      <c r="H3764" s="12"/>
      <c r="I3764" s="12"/>
      <c r="J3764" s="12"/>
      <c r="K3764" s="12"/>
      <c r="L3764" s="12"/>
      <c r="M3764" s="11"/>
      <c r="N3764" s="11"/>
      <c r="O3764" s="11"/>
      <c r="P3764" s="11"/>
    </row>
    <row r="3765" spans="8:16" x14ac:dyDescent="0.25">
      <c r="H3765" s="12"/>
      <c r="I3765" s="12"/>
      <c r="J3765" s="12"/>
      <c r="K3765" s="12"/>
      <c r="L3765" s="12"/>
      <c r="M3765" s="11"/>
      <c r="N3765" s="11"/>
      <c r="O3765" s="11"/>
      <c r="P3765" s="11"/>
    </row>
    <row r="3766" spans="8:16" x14ac:dyDescent="0.25">
      <c r="H3766" s="12"/>
      <c r="I3766" s="12"/>
      <c r="J3766" s="12"/>
      <c r="K3766" s="12"/>
      <c r="L3766" s="12"/>
      <c r="M3766" s="11"/>
      <c r="N3766" s="11"/>
      <c r="O3766" s="11"/>
      <c r="P3766" s="11"/>
    </row>
    <row r="3767" spans="8:16" x14ac:dyDescent="0.25">
      <c r="H3767" s="12"/>
      <c r="I3767" s="12"/>
      <c r="J3767" s="12"/>
      <c r="K3767" s="12"/>
      <c r="L3767" s="12"/>
      <c r="M3767" s="11"/>
      <c r="N3767" s="11"/>
      <c r="O3767" s="11"/>
      <c r="P3767" s="11"/>
    </row>
    <row r="3768" spans="8:16" x14ac:dyDescent="0.25">
      <c r="H3768" s="12"/>
      <c r="I3768" s="12"/>
      <c r="J3768" s="12"/>
      <c r="K3768" s="12"/>
      <c r="L3768" s="12"/>
      <c r="M3768" s="11"/>
      <c r="N3768" s="11"/>
      <c r="O3768" s="11"/>
      <c r="P3768" s="11"/>
    </row>
    <row r="3769" spans="8:16" x14ac:dyDescent="0.25">
      <c r="H3769" s="12"/>
      <c r="I3769" s="12"/>
      <c r="J3769" s="12"/>
      <c r="K3769" s="12"/>
      <c r="L3769" s="12"/>
      <c r="M3769" s="11"/>
      <c r="N3769" s="11"/>
      <c r="O3769" s="11"/>
      <c r="P3769" s="11"/>
    </row>
    <row r="3770" spans="8:16" x14ac:dyDescent="0.25">
      <c r="H3770" s="12"/>
      <c r="I3770" s="12"/>
      <c r="J3770" s="12"/>
      <c r="K3770" s="12"/>
      <c r="L3770" s="12"/>
      <c r="M3770" s="11"/>
      <c r="N3770" s="11"/>
      <c r="O3770" s="11"/>
      <c r="P3770" s="11"/>
    </row>
    <row r="3771" spans="8:16" x14ac:dyDescent="0.25">
      <c r="H3771" s="12"/>
      <c r="I3771" s="12"/>
      <c r="J3771" s="12"/>
      <c r="K3771" s="12"/>
      <c r="L3771" s="12"/>
      <c r="M3771" s="11"/>
      <c r="N3771" s="11"/>
      <c r="O3771" s="11"/>
      <c r="P3771" s="11"/>
    </row>
    <row r="3772" spans="8:16" x14ac:dyDescent="0.25">
      <c r="H3772" s="12"/>
      <c r="I3772" s="12"/>
      <c r="J3772" s="12"/>
      <c r="K3772" s="12"/>
      <c r="L3772" s="12"/>
      <c r="M3772" s="11"/>
      <c r="N3772" s="11"/>
      <c r="O3772" s="11"/>
      <c r="P3772" s="11"/>
    </row>
    <row r="3773" spans="8:16" x14ac:dyDescent="0.25">
      <c r="H3773" s="12"/>
      <c r="I3773" s="12"/>
      <c r="J3773" s="12"/>
      <c r="K3773" s="12"/>
      <c r="L3773" s="12"/>
      <c r="M3773" s="11"/>
      <c r="N3773" s="11"/>
      <c r="O3773" s="11"/>
      <c r="P3773" s="11"/>
    </row>
    <row r="3774" spans="8:16" x14ac:dyDescent="0.25">
      <c r="H3774" s="12"/>
      <c r="I3774" s="12"/>
      <c r="J3774" s="12"/>
      <c r="K3774" s="12"/>
      <c r="L3774" s="12"/>
      <c r="M3774" s="11"/>
      <c r="N3774" s="11"/>
      <c r="O3774" s="11"/>
      <c r="P3774" s="11"/>
    </row>
    <row r="3775" spans="8:16" x14ac:dyDescent="0.25">
      <c r="H3775" s="12"/>
      <c r="I3775" s="12"/>
      <c r="J3775" s="12"/>
      <c r="K3775" s="12"/>
      <c r="L3775" s="12"/>
      <c r="M3775" s="11"/>
      <c r="N3775" s="11"/>
      <c r="O3775" s="11"/>
      <c r="P3775" s="11"/>
    </row>
    <row r="3776" spans="8:16" x14ac:dyDescent="0.25">
      <c r="H3776" s="12"/>
      <c r="I3776" s="12"/>
      <c r="J3776" s="12"/>
      <c r="K3776" s="12"/>
      <c r="L3776" s="12"/>
      <c r="M3776" s="11"/>
      <c r="N3776" s="11"/>
      <c r="O3776" s="11"/>
      <c r="P3776" s="11"/>
    </row>
    <row r="3777" spans="8:16" x14ac:dyDescent="0.25">
      <c r="H3777" s="12"/>
      <c r="I3777" s="12"/>
      <c r="J3777" s="12"/>
      <c r="K3777" s="12"/>
      <c r="L3777" s="12"/>
      <c r="M3777" s="11"/>
      <c r="N3777" s="11"/>
      <c r="O3777" s="11"/>
      <c r="P3777" s="11"/>
    </row>
    <row r="3778" spans="8:16" x14ac:dyDescent="0.25">
      <c r="H3778" s="12"/>
      <c r="I3778" s="12"/>
      <c r="J3778" s="12"/>
      <c r="K3778" s="12"/>
      <c r="L3778" s="12"/>
      <c r="M3778" s="11"/>
      <c r="N3778" s="11"/>
      <c r="O3778" s="11"/>
      <c r="P3778" s="11"/>
    </row>
    <row r="3779" spans="8:16" x14ac:dyDescent="0.25">
      <c r="H3779" s="12"/>
      <c r="I3779" s="12"/>
      <c r="J3779" s="12"/>
      <c r="K3779" s="12"/>
      <c r="L3779" s="12"/>
      <c r="M3779" s="11"/>
      <c r="N3779" s="11"/>
      <c r="O3779" s="11"/>
      <c r="P3779" s="11"/>
    </row>
    <row r="3780" spans="8:16" x14ac:dyDescent="0.25">
      <c r="H3780" s="12"/>
      <c r="I3780" s="12"/>
      <c r="J3780" s="12"/>
      <c r="K3780" s="12"/>
      <c r="L3780" s="12"/>
      <c r="M3780" s="11"/>
      <c r="N3780" s="11"/>
      <c r="O3780" s="11"/>
      <c r="P3780" s="11"/>
    </row>
    <row r="3781" spans="8:16" x14ac:dyDescent="0.25">
      <c r="H3781" s="12"/>
      <c r="I3781" s="12"/>
      <c r="J3781" s="12"/>
      <c r="K3781" s="12"/>
      <c r="L3781" s="12"/>
      <c r="M3781" s="11"/>
      <c r="N3781" s="11"/>
      <c r="O3781" s="11"/>
      <c r="P3781" s="11"/>
    </row>
    <row r="3782" spans="8:16" x14ac:dyDescent="0.25">
      <c r="H3782" s="12"/>
      <c r="I3782" s="12"/>
      <c r="J3782" s="12"/>
      <c r="K3782" s="12"/>
      <c r="L3782" s="12"/>
      <c r="M3782" s="11"/>
      <c r="N3782" s="11"/>
      <c r="O3782" s="11"/>
      <c r="P3782" s="11"/>
    </row>
    <row r="3783" spans="8:16" x14ac:dyDescent="0.25">
      <c r="H3783" s="12"/>
      <c r="I3783" s="12"/>
      <c r="J3783" s="12"/>
      <c r="K3783" s="12"/>
      <c r="L3783" s="12"/>
      <c r="M3783" s="11"/>
      <c r="N3783" s="11"/>
      <c r="O3783" s="11"/>
      <c r="P3783" s="11"/>
    </row>
    <row r="3784" spans="8:16" x14ac:dyDescent="0.25">
      <c r="H3784" s="12"/>
      <c r="I3784" s="12"/>
      <c r="J3784" s="12"/>
      <c r="K3784" s="12"/>
      <c r="L3784" s="12"/>
      <c r="M3784" s="11"/>
      <c r="N3784" s="11"/>
      <c r="O3784" s="11"/>
      <c r="P3784" s="11"/>
    </row>
    <row r="3785" spans="8:16" x14ac:dyDescent="0.25">
      <c r="H3785" s="12"/>
      <c r="I3785" s="12"/>
      <c r="J3785" s="12"/>
      <c r="K3785" s="12"/>
      <c r="L3785" s="12"/>
      <c r="M3785" s="11"/>
      <c r="N3785" s="11"/>
      <c r="O3785" s="11"/>
      <c r="P3785" s="11"/>
    </row>
    <row r="3786" spans="8:16" x14ac:dyDescent="0.25">
      <c r="H3786" s="12"/>
      <c r="I3786" s="12"/>
      <c r="J3786" s="12"/>
      <c r="K3786" s="12"/>
      <c r="L3786" s="12"/>
      <c r="M3786" s="11"/>
      <c r="N3786" s="11"/>
      <c r="O3786" s="11"/>
      <c r="P3786" s="11"/>
    </row>
    <row r="3787" spans="8:16" x14ac:dyDescent="0.25">
      <c r="H3787" s="12"/>
      <c r="I3787" s="12"/>
      <c r="J3787" s="12"/>
      <c r="K3787" s="12"/>
      <c r="L3787" s="12"/>
      <c r="M3787" s="11"/>
      <c r="N3787" s="11"/>
      <c r="O3787" s="11"/>
      <c r="P3787" s="11"/>
    </row>
    <row r="3788" spans="8:16" x14ac:dyDescent="0.25">
      <c r="H3788" s="12"/>
      <c r="I3788" s="12"/>
      <c r="J3788" s="12"/>
      <c r="K3788" s="12"/>
      <c r="L3788" s="12"/>
      <c r="M3788" s="11"/>
      <c r="N3788" s="11"/>
      <c r="O3788" s="11"/>
      <c r="P3788" s="11"/>
    </row>
    <row r="3789" spans="8:16" x14ac:dyDescent="0.25">
      <c r="H3789" s="12"/>
      <c r="I3789" s="12"/>
      <c r="J3789" s="12"/>
      <c r="K3789" s="12"/>
      <c r="L3789" s="12"/>
      <c r="M3789" s="11"/>
      <c r="N3789" s="11"/>
      <c r="O3789" s="11"/>
      <c r="P3789" s="11"/>
    </row>
    <row r="3790" spans="8:16" x14ac:dyDescent="0.25">
      <c r="H3790" s="12"/>
      <c r="I3790" s="12"/>
      <c r="J3790" s="12"/>
      <c r="K3790" s="12"/>
      <c r="L3790" s="12"/>
      <c r="M3790" s="11"/>
      <c r="N3790" s="11"/>
      <c r="O3790" s="11"/>
      <c r="P3790" s="11"/>
    </row>
    <row r="3791" spans="8:16" x14ac:dyDescent="0.25">
      <c r="H3791" s="12"/>
      <c r="I3791" s="12"/>
      <c r="J3791" s="12"/>
      <c r="K3791" s="12"/>
      <c r="L3791" s="12"/>
      <c r="M3791" s="11"/>
      <c r="N3791" s="11"/>
      <c r="O3791" s="11"/>
      <c r="P3791" s="11"/>
    </row>
    <row r="3792" spans="8:16" x14ac:dyDescent="0.25">
      <c r="H3792" s="12"/>
      <c r="I3792" s="12"/>
      <c r="J3792" s="12"/>
      <c r="K3792" s="12"/>
      <c r="L3792" s="12"/>
      <c r="M3792" s="11"/>
      <c r="N3792" s="11"/>
      <c r="O3792" s="11"/>
      <c r="P3792" s="11"/>
    </row>
    <row r="3793" spans="8:16" x14ac:dyDescent="0.25">
      <c r="H3793" s="12"/>
      <c r="I3793" s="12"/>
      <c r="J3793" s="12"/>
      <c r="K3793" s="12"/>
      <c r="L3793" s="12"/>
      <c r="M3793" s="11"/>
      <c r="N3793" s="11"/>
      <c r="O3793" s="11"/>
      <c r="P3793" s="11"/>
    </row>
    <row r="3794" spans="8:16" x14ac:dyDescent="0.25">
      <c r="H3794" s="12"/>
      <c r="I3794" s="12"/>
      <c r="J3794" s="12"/>
      <c r="K3794" s="12"/>
      <c r="L3794" s="12"/>
      <c r="M3794" s="11"/>
      <c r="N3794" s="11"/>
      <c r="O3794" s="11"/>
      <c r="P3794" s="11"/>
    </row>
    <row r="3795" spans="8:16" x14ac:dyDescent="0.25">
      <c r="H3795" s="12"/>
      <c r="I3795" s="12"/>
      <c r="J3795" s="12"/>
      <c r="K3795" s="12"/>
      <c r="L3795" s="12"/>
      <c r="M3795" s="11"/>
      <c r="N3795" s="11"/>
      <c r="O3795" s="11"/>
      <c r="P3795" s="11"/>
    </row>
    <row r="3796" spans="8:16" x14ac:dyDescent="0.25">
      <c r="H3796" s="12"/>
      <c r="I3796" s="12"/>
      <c r="J3796" s="12"/>
      <c r="K3796" s="12"/>
      <c r="L3796" s="12"/>
      <c r="M3796" s="11"/>
      <c r="N3796" s="11"/>
      <c r="O3796" s="11"/>
      <c r="P3796" s="11"/>
    </row>
    <row r="3797" spans="8:16" x14ac:dyDescent="0.25">
      <c r="H3797" s="12"/>
      <c r="I3797" s="12"/>
      <c r="J3797" s="12"/>
      <c r="K3797" s="12"/>
      <c r="L3797" s="12"/>
      <c r="M3797" s="11"/>
      <c r="N3797" s="11"/>
      <c r="O3797" s="11"/>
      <c r="P3797" s="11"/>
    </row>
    <row r="3798" spans="8:16" x14ac:dyDescent="0.25">
      <c r="H3798" s="12"/>
      <c r="I3798" s="12"/>
      <c r="J3798" s="12"/>
      <c r="K3798" s="12"/>
      <c r="L3798" s="12"/>
      <c r="M3798" s="11"/>
      <c r="N3798" s="11"/>
      <c r="O3798" s="11"/>
      <c r="P3798" s="11"/>
    </row>
    <row r="3799" spans="8:16" x14ac:dyDescent="0.25">
      <c r="H3799" s="12"/>
      <c r="I3799" s="12"/>
      <c r="J3799" s="12"/>
      <c r="K3799" s="12"/>
      <c r="L3799" s="12"/>
      <c r="M3799" s="11"/>
      <c r="N3799" s="11"/>
      <c r="O3799" s="11"/>
      <c r="P3799" s="11"/>
    </row>
    <row r="3800" spans="8:16" x14ac:dyDescent="0.25">
      <c r="H3800" s="12"/>
      <c r="I3800" s="12"/>
      <c r="J3800" s="12"/>
      <c r="K3800" s="12"/>
      <c r="L3800" s="12"/>
      <c r="M3800" s="11"/>
      <c r="N3800" s="11"/>
      <c r="O3800" s="11"/>
      <c r="P3800" s="11"/>
    </row>
    <row r="3801" spans="8:16" x14ac:dyDescent="0.25">
      <c r="H3801" s="12"/>
      <c r="I3801" s="12"/>
      <c r="J3801" s="12"/>
      <c r="K3801" s="12"/>
      <c r="L3801" s="12"/>
      <c r="M3801" s="11"/>
      <c r="N3801" s="11"/>
      <c r="O3801" s="11"/>
      <c r="P3801" s="11"/>
    </row>
    <row r="3802" spans="8:16" x14ac:dyDescent="0.25">
      <c r="H3802" s="12"/>
      <c r="I3802" s="12"/>
      <c r="J3802" s="12"/>
      <c r="K3802" s="12"/>
      <c r="L3802" s="12"/>
      <c r="M3802" s="11"/>
      <c r="N3802" s="11"/>
      <c r="O3802" s="11"/>
      <c r="P3802" s="11"/>
    </row>
    <row r="3803" spans="8:16" x14ac:dyDescent="0.25">
      <c r="H3803" s="12"/>
      <c r="I3803" s="12"/>
      <c r="J3803" s="12"/>
      <c r="K3803" s="12"/>
      <c r="L3803" s="12"/>
      <c r="M3803" s="11"/>
      <c r="N3803" s="11"/>
      <c r="O3803" s="11"/>
      <c r="P3803" s="11"/>
    </row>
    <row r="3804" spans="8:16" x14ac:dyDescent="0.25">
      <c r="H3804" s="12"/>
      <c r="I3804" s="12"/>
      <c r="J3804" s="12"/>
      <c r="K3804" s="12"/>
      <c r="L3804" s="12"/>
      <c r="M3804" s="11"/>
      <c r="N3804" s="11"/>
      <c r="O3804" s="11"/>
      <c r="P3804" s="11"/>
    </row>
    <row r="3805" spans="8:16" x14ac:dyDescent="0.25">
      <c r="H3805" s="12"/>
      <c r="I3805" s="12"/>
      <c r="J3805" s="12"/>
      <c r="K3805" s="12"/>
      <c r="L3805" s="12"/>
      <c r="M3805" s="11"/>
      <c r="N3805" s="11"/>
      <c r="O3805" s="11"/>
      <c r="P3805" s="11"/>
    </row>
    <row r="3806" spans="8:16" x14ac:dyDescent="0.25">
      <c r="H3806" s="12"/>
      <c r="I3806" s="12"/>
      <c r="J3806" s="12"/>
      <c r="K3806" s="12"/>
      <c r="L3806" s="12"/>
      <c r="M3806" s="11"/>
      <c r="N3806" s="11"/>
      <c r="O3806" s="11"/>
      <c r="P3806" s="11"/>
    </row>
    <row r="3807" spans="8:16" x14ac:dyDescent="0.25">
      <c r="H3807" s="12"/>
      <c r="I3807" s="12"/>
      <c r="J3807" s="12"/>
      <c r="K3807" s="12"/>
      <c r="L3807" s="12"/>
      <c r="M3807" s="11"/>
      <c r="N3807" s="11"/>
      <c r="O3807" s="11"/>
      <c r="P3807" s="11"/>
    </row>
    <row r="3808" spans="8:16" x14ac:dyDescent="0.25">
      <c r="H3808" s="12"/>
      <c r="I3808" s="12"/>
      <c r="J3808" s="12"/>
      <c r="K3808" s="12"/>
      <c r="L3808" s="12"/>
      <c r="M3808" s="11"/>
      <c r="N3808" s="11"/>
      <c r="O3808" s="11"/>
      <c r="P3808" s="11"/>
    </row>
    <row r="3809" spans="8:16" x14ac:dyDescent="0.25">
      <c r="H3809" s="12"/>
      <c r="I3809" s="12"/>
      <c r="J3809" s="12"/>
      <c r="K3809" s="12"/>
      <c r="L3809" s="12"/>
      <c r="M3809" s="11"/>
      <c r="N3809" s="11"/>
      <c r="O3809" s="11"/>
      <c r="P3809" s="11"/>
    </row>
    <row r="3810" spans="8:16" x14ac:dyDescent="0.25">
      <c r="H3810" s="12"/>
      <c r="I3810" s="12"/>
      <c r="J3810" s="12"/>
      <c r="K3810" s="12"/>
      <c r="L3810" s="12"/>
      <c r="M3810" s="11"/>
      <c r="N3810" s="11"/>
      <c r="O3810" s="11"/>
      <c r="P3810" s="11"/>
    </row>
    <row r="3811" spans="8:16" x14ac:dyDescent="0.25">
      <c r="H3811" s="12"/>
      <c r="I3811" s="12"/>
      <c r="J3811" s="12"/>
      <c r="K3811" s="12"/>
      <c r="L3811" s="12"/>
      <c r="M3811" s="11"/>
      <c r="N3811" s="11"/>
      <c r="O3811" s="11"/>
      <c r="P3811" s="11"/>
    </row>
    <row r="3812" spans="8:16" x14ac:dyDescent="0.25">
      <c r="H3812" s="12"/>
      <c r="I3812" s="12"/>
      <c r="J3812" s="12"/>
      <c r="K3812" s="12"/>
      <c r="L3812" s="12"/>
      <c r="M3812" s="11"/>
      <c r="N3812" s="11"/>
      <c r="O3812" s="11"/>
      <c r="P3812" s="11"/>
    </row>
    <row r="3813" spans="8:16" x14ac:dyDescent="0.25">
      <c r="H3813" s="12"/>
      <c r="I3813" s="12"/>
      <c r="J3813" s="12"/>
      <c r="K3813" s="12"/>
      <c r="L3813" s="12"/>
      <c r="M3813" s="11"/>
      <c r="N3813" s="11"/>
      <c r="O3813" s="11"/>
      <c r="P3813" s="11"/>
    </row>
    <row r="3814" spans="8:16" x14ac:dyDescent="0.25">
      <c r="H3814" s="12"/>
      <c r="I3814" s="12"/>
      <c r="J3814" s="12"/>
      <c r="K3814" s="12"/>
      <c r="L3814" s="12"/>
      <c r="M3814" s="11"/>
      <c r="N3814" s="11"/>
      <c r="O3814" s="11"/>
      <c r="P3814" s="11"/>
    </row>
    <row r="3815" spans="8:16" x14ac:dyDescent="0.25">
      <c r="H3815" s="12"/>
      <c r="I3815" s="12"/>
      <c r="J3815" s="12"/>
      <c r="K3815" s="12"/>
      <c r="L3815" s="12"/>
      <c r="M3815" s="11"/>
      <c r="N3815" s="11"/>
      <c r="O3815" s="11"/>
      <c r="P3815" s="11"/>
    </row>
    <row r="3816" spans="8:16" x14ac:dyDescent="0.25">
      <c r="H3816" s="12"/>
      <c r="I3816" s="12"/>
      <c r="J3816" s="12"/>
      <c r="K3816" s="12"/>
      <c r="L3816" s="12"/>
      <c r="M3816" s="11"/>
      <c r="N3816" s="11"/>
      <c r="O3816" s="11"/>
      <c r="P3816" s="11"/>
    </row>
    <row r="3817" spans="8:16" x14ac:dyDescent="0.25">
      <c r="H3817" s="12"/>
      <c r="I3817" s="12"/>
      <c r="J3817" s="12"/>
      <c r="K3817" s="12"/>
      <c r="L3817" s="12"/>
      <c r="M3817" s="11"/>
      <c r="N3817" s="11"/>
      <c r="O3817" s="11"/>
      <c r="P3817" s="11"/>
    </row>
    <row r="3818" spans="8:16" x14ac:dyDescent="0.25">
      <c r="H3818" s="12"/>
      <c r="I3818" s="12"/>
      <c r="J3818" s="12"/>
      <c r="K3818" s="12"/>
      <c r="L3818" s="12"/>
      <c r="M3818" s="11"/>
      <c r="N3818" s="11"/>
      <c r="O3818" s="11"/>
      <c r="P3818" s="11"/>
    </row>
    <row r="3819" spans="8:16" x14ac:dyDescent="0.25">
      <c r="H3819" s="12"/>
      <c r="I3819" s="12"/>
      <c r="J3819" s="12"/>
      <c r="K3819" s="12"/>
      <c r="L3819" s="12"/>
      <c r="M3819" s="11"/>
      <c r="N3819" s="11"/>
      <c r="O3819" s="11"/>
      <c r="P3819" s="11"/>
    </row>
    <row r="3820" spans="8:16" x14ac:dyDescent="0.25">
      <c r="H3820" s="12"/>
      <c r="I3820" s="12"/>
      <c r="J3820" s="12"/>
      <c r="K3820" s="12"/>
      <c r="L3820" s="12"/>
      <c r="M3820" s="11"/>
      <c r="N3820" s="11"/>
      <c r="O3820" s="11"/>
      <c r="P3820" s="11"/>
    </row>
    <row r="3821" spans="8:16" x14ac:dyDescent="0.25">
      <c r="H3821" s="12"/>
      <c r="I3821" s="12"/>
      <c r="J3821" s="12"/>
      <c r="K3821" s="12"/>
      <c r="L3821" s="12"/>
      <c r="M3821" s="11"/>
      <c r="N3821" s="11"/>
      <c r="O3821" s="11"/>
      <c r="P3821" s="11"/>
    </row>
    <row r="3822" spans="8:16" x14ac:dyDescent="0.25">
      <c r="H3822" s="12"/>
      <c r="I3822" s="12"/>
      <c r="J3822" s="12"/>
      <c r="K3822" s="12"/>
      <c r="L3822" s="12"/>
      <c r="M3822" s="11"/>
      <c r="N3822" s="11"/>
      <c r="O3822" s="11"/>
      <c r="P3822" s="11"/>
    </row>
    <row r="3823" spans="8:16" x14ac:dyDescent="0.25">
      <c r="H3823" s="12"/>
      <c r="I3823" s="12"/>
      <c r="J3823" s="12"/>
      <c r="K3823" s="12"/>
      <c r="L3823" s="12"/>
      <c r="M3823" s="11"/>
      <c r="N3823" s="11"/>
      <c r="O3823" s="11"/>
      <c r="P3823" s="11"/>
    </row>
    <row r="3824" spans="8:16" x14ac:dyDescent="0.25">
      <c r="H3824" s="12"/>
      <c r="I3824" s="12"/>
      <c r="J3824" s="12"/>
      <c r="K3824" s="12"/>
      <c r="L3824" s="12"/>
      <c r="M3824" s="11"/>
      <c r="N3824" s="11"/>
      <c r="O3824" s="11"/>
      <c r="P3824" s="11"/>
    </row>
    <row r="3825" spans="8:16" x14ac:dyDescent="0.25">
      <c r="H3825" s="12"/>
      <c r="I3825" s="12"/>
      <c r="J3825" s="12"/>
      <c r="K3825" s="12"/>
      <c r="L3825" s="12"/>
      <c r="M3825" s="11"/>
      <c r="N3825" s="11"/>
      <c r="O3825" s="11"/>
      <c r="P3825" s="11"/>
    </row>
    <row r="3826" spans="8:16" x14ac:dyDescent="0.25">
      <c r="H3826" s="12"/>
      <c r="I3826" s="12"/>
      <c r="J3826" s="12"/>
      <c r="K3826" s="12"/>
      <c r="L3826" s="12"/>
      <c r="M3826" s="11"/>
      <c r="N3826" s="11"/>
      <c r="O3826" s="11"/>
      <c r="P3826" s="11"/>
    </row>
    <row r="3827" spans="8:16" x14ac:dyDescent="0.25">
      <c r="H3827" s="12"/>
      <c r="I3827" s="12"/>
      <c r="J3827" s="12"/>
      <c r="K3827" s="12"/>
      <c r="L3827" s="12"/>
      <c r="M3827" s="11"/>
      <c r="N3827" s="11"/>
      <c r="O3827" s="11"/>
      <c r="P3827" s="11"/>
    </row>
    <row r="3828" spans="8:16" x14ac:dyDescent="0.25">
      <c r="H3828" s="12"/>
      <c r="I3828" s="12"/>
      <c r="J3828" s="12"/>
      <c r="K3828" s="12"/>
      <c r="L3828" s="12"/>
      <c r="M3828" s="11"/>
      <c r="N3828" s="11"/>
      <c r="O3828" s="11"/>
      <c r="P3828" s="11"/>
    </row>
    <row r="3829" spans="8:16" x14ac:dyDescent="0.25">
      <c r="H3829" s="12"/>
      <c r="I3829" s="12"/>
      <c r="J3829" s="12"/>
      <c r="K3829" s="12"/>
      <c r="L3829" s="12"/>
      <c r="M3829" s="11"/>
      <c r="N3829" s="11"/>
      <c r="O3829" s="11"/>
      <c r="P3829" s="11"/>
    </row>
    <row r="3830" spans="8:16" x14ac:dyDescent="0.25">
      <c r="H3830" s="12"/>
      <c r="I3830" s="12"/>
      <c r="J3830" s="12"/>
      <c r="K3830" s="12"/>
      <c r="L3830" s="12"/>
      <c r="M3830" s="11"/>
      <c r="N3830" s="11"/>
      <c r="O3830" s="11"/>
      <c r="P3830" s="11"/>
    </row>
    <row r="3831" spans="8:16" x14ac:dyDescent="0.25">
      <c r="H3831" s="12"/>
      <c r="I3831" s="12"/>
      <c r="J3831" s="12"/>
      <c r="K3831" s="12"/>
      <c r="L3831" s="12"/>
      <c r="M3831" s="11"/>
      <c r="N3831" s="11"/>
      <c r="O3831" s="11"/>
      <c r="P3831" s="11"/>
    </row>
    <row r="3832" spans="8:16" x14ac:dyDescent="0.25">
      <c r="H3832" s="12"/>
      <c r="I3832" s="12"/>
      <c r="J3832" s="12"/>
      <c r="K3832" s="12"/>
      <c r="L3832" s="12"/>
      <c r="M3832" s="11"/>
      <c r="N3832" s="11"/>
      <c r="O3832" s="11"/>
      <c r="P3832" s="11"/>
    </row>
    <row r="3833" spans="8:16" x14ac:dyDescent="0.25">
      <c r="H3833" s="12"/>
      <c r="I3833" s="12"/>
      <c r="J3833" s="12"/>
      <c r="K3833" s="12"/>
      <c r="L3833" s="12"/>
      <c r="M3833" s="11"/>
      <c r="N3833" s="11"/>
      <c r="O3833" s="11"/>
      <c r="P3833" s="11"/>
    </row>
    <row r="3834" spans="8:16" x14ac:dyDescent="0.25">
      <c r="H3834" s="12"/>
      <c r="I3834" s="12"/>
      <c r="J3834" s="12"/>
      <c r="K3834" s="12"/>
      <c r="L3834" s="12"/>
      <c r="M3834" s="11"/>
      <c r="N3834" s="11"/>
      <c r="O3834" s="11"/>
      <c r="P3834" s="11"/>
    </row>
    <row r="3835" spans="8:16" x14ac:dyDescent="0.25">
      <c r="H3835" s="12"/>
      <c r="I3835" s="12"/>
      <c r="J3835" s="12"/>
      <c r="K3835" s="12"/>
      <c r="L3835" s="12"/>
      <c r="M3835" s="11"/>
      <c r="N3835" s="11"/>
      <c r="O3835" s="11"/>
      <c r="P3835" s="11"/>
    </row>
    <row r="3836" spans="8:16" x14ac:dyDescent="0.25">
      <c r="H3836" s="12"/>
      <c r="I3836" s="12"/>
      <c r="J3836" s="12"/>
      <c r="K3836" s="12"/>
      <c r="L3836" s="12"/>
      <c r="M3836" s="11"/>
      <c r="N3836" s="11"/>
      <c r="O3836" s="11"/>
      <c r="P3836" s="11"/>
    </row>
    <row r="3837" spans="8:16" x14ac:dyDescent="0.25">
      <c r="H3837" s="12"/>
      <c r="I3837" s="12"/>
      <c r="J3837" s="12"/>
      <c r="K3837" s="12"/>
      <c r="L3837" s="12"/>
      <c r="M3837" s="11"/>
      <c r="N3837" s="11"/>
      <c r="O3837" s="11"/>
      <c r="P3837" s="11"/>
    </row>
    <row r="3838" spans="8:16" x14ac:dyDescent="0.25">
      <c r="H3838" s="12"/>
      <c r="I3838" s="12"/>
      <c r="J3838" s="12"/>
      <c r="K3838" s="12"/>
      <c r="L3838" s="12"/>
      <c r="M3838" s="11"/>
      <c r="N3838" s="11"/>
      <c r="O3838" s="11"/>
      <c r="P3838" s="11"/>
    </row>
    <row r="3839" spans="8:16" x14ac:dyDescent="0.25">
      <c r="H3839" s="12"/>
      <c r="I3839" s="12"/>
      <c r="J3839" s="12"/>
      <c r="K3839" s="12"/>
      <c r="L3839" s="12"/>
      <c r="M3839" s="11"/>
      <c r="N3839" s="11"/>
      <c r="O3839" s="11"/>
      <c r="P3839" s="11"/>
    </row>
    <row r="3840" spans="8:16" x14ac:dyDescent="0.25">
      <c r="H3840" s="12"/>
      <c r="I3840" s="12"/>
      <c r="J3840" s="12"/>
      <c r="K3840" s="12"/>
      <c r="L3840" s="12"/>
      <c r="M3840" s="11"/>
      <c r="N3840" s="11"/>
      <c r="O3840" s="11"/>
      <c r="P3840" s="11"/>
    </row>
    <row r="3841" spans="8:16" x14ac:dyDescent="0.25">
      <c r="H3841" s="12"/>
      <c r="I3841" s="12"/>
      <c r="J3841" s="12"/>
      <c r="K3841" s="12"/>
      <c r="L3841" s="12"/>
      <c r="M3841" s="11"/>
      <c r="N3841" s="11"/>
      <c r="O3841" s="11"/>
      <c r="P3841" s="11"/>
    </row>
    <row r="3842" spans="8:16" x14ac:dyDescent="0.25">
      <c r="H3842" s="12"/>
      <c r="I3842" s="12"/>
      <c r="J3842" s="12"/>
      <c r="K3842" s="12"/>
      <c r="L3842" s="12"/>
      <c r="M3842" s="11"/>
      <c r="N3842" s="11"/>
      <c r="O3842" s="11"/>
      <c r="P3842" s="11"/>
    </row>
    <row r="3843" spans="8:16" x14ac:dyDescent="0.25">
      <c r="H3843" s="12"/>
      <c r="I3843" s="12"/>
      <c r="J3843" s="12"/>
      <c r="K3843" s="12"/>
      <c r="L3843" s="12"/>
      <c r="M3843" s="11"/>
      <c r="N3843" s="11"/>
      <c r="O3843" s="11"/>
      <c r="P3843" s="11"/>
    </row>
    <row r="3844" spans="8:16" x14ac:dyDescent="0.25">
      <c r="H3844" s="12"/>
      <c r="I3844" s="12"/>
      <c r="J3844" s="12"/>
      <c r="K3844" s="12"/>
      <c r="L3844" s="12"/>
      <c r="M3844" s="11"/>
      <c r="N3844" s="11"/>
      <c r="O3844" s="11"/>
      <c r="P3844" s="11"/>
    </row>
    <row r="3845" spans="8:16" x14ac:dyDescent="0.25">
      <c r="H3845" s="12"/>
      <c r="I3845" s="12"/>
      <c r="J3845" s="12"/>
      <c r="K3845" s="12"/>
      <c r="L3845" s="12"/>
      <c r="M3845" s="11"/>
      <c r="N3845" s="11"/>
      <c r="O3845" s="11"/>
      <c r="P3845" s="11"/>
    </row>
    <row r="3846" spans="8:16" x14ac:dyDescent="0.25">
      <c r="H3846" s="12"/>
      <c r="I3846" s="12"/>
      <c r="J3846" s="12"/>
      <c r="K3846" s="12"/>
      <c r="L3846" s="12"/>
      <c r="M3846" s="11"/>
      <c r="N3846" s="11"/>
      <c r="O3846" s="11"/>
      <c r="P3846" s="11"/>
    </row>
    <row r="3847" spans="8:16" x14ac:dyDescent="0.25">
      <c r="H3847" s="12"/>
      <c r="I3847" s="12"/>
      <c r="J3847" s="12"/>
      <c r="K3847" s="12"/>
      <c r="L3847" s="12"/>
      <c r="M3847" s="11"/>
      <c r="N3847" s="11"/>
      <c r="O3847" s="11"/>
      <c r="P3847" s="11"/>
    </row>
    <row r="3848" spans="8:16" x14ac:dyDescent="0.25">
      <c r="H3848" s="12"/>
      <c r="I3848" s="12"/>
      <c r="J3848" s="12"/>
      <c r="K3848" s="12"/>
      <c r="L3848" s="12"/>
      <c r="M3848" s="11"/>
      <c r="N3848" s="11"/>
      <c r="O3848" s="11"/>
      <c r="P3848" s="11"/>
    </row>
    <row r="3849" spans="8:16" x14ac:dyDescent="0.25">
      <c r="H3849" s="12"/>
      <c r="I3849" s="12"/>
      <c r="J3849" s="12"/>
      <c r="K3849" s="12"/>
      <c r="L3849" s="12"/>
      <c r="M3849" s="11"/>
      <c r="N3849" s="11"/>
      <c r="O3849" s="11"/>
      <c r="P3849" s="11"/>
    </row>
    <row r="3850" spans="8:16" x14ac:dyDescent="0.25">
      <c r="H3850" s="12"/>
      <c r="I3850" s="12"/>
      <c r="J3850" s="12"/>
      <c r="K3850" s="12"/>
      <c r="L3850" s="12"/>
      <c r="M3850" s="11"/>
      <c r="N3850" s="11"/>
      <c r="O3850" s="11"/>
      <c r="P3850" s="11"/>
    </row>
    <row r="3851" spans="8:16" x14ac:dyDescent="0.25">
      <c r="H3851" s="12"/>
      <c r="I3851" s="12"/>
      <c r="J3851" s="12"/>
      <c r="K3851" s="12"/>
      <c r="L3851" s="12"/>
      <c r="M3851" s="11"/>
      <c r="N3851" s="11"/>
      <c r="O3851" s="11"/>
      <c r="P3851" s="11"/>
    </row>
    <row r="3852" spans="8:16" x14ac:dyDescent="0.25">
      <c r="H3852" s="12"/>
      <c r="I3852" s="12"/>
      <c r="J3852" s="12"/>
      <c r="K3852" s="12"/>
      <c r="L3852" s="12"/>
      <c r="M3852" s="11"/>
      <c r="N3852" s="11"/>
      <c r="O3852" s="11"/>
      <c r="P3852" s="11"/>
    </row>
    <row r="3853" spans="8:16" x14ac:dyDescent="0.25">
      <c r="H3853" s="12"/>
      <c r="I3853" s="12"/>
      <c r="J3853" s="12"/>
      <c r="K3853" s="12"/>
      <c r="L3853" s="12"/>
      <c r="M3853" s="11"/>
      <c r="N3853" s="11"/>
      <c r="O3853" s="11"/>
      <c r="P3853" s="11"/>
    </row>
    <row r="3854" spans="8:16" x14ac:dyDescent="0.25">
      <c r="H3854" s="12"/>
      <c r="I3854" s="12"/>
      <c r="J3854" s="12"/>
      <c r="K3854" s="12"/>
      <c r="L3854" s="12"/>
      <c r="M3854" s="11"/>
      <c r="N3854" s="11"/>
      <c r="O3854" s="11"/>
      <c r="P3854" s="11"/>
    </row>
    <row r="3855" spans="8:16" x14ac:dyDescent="0.25">
      <c r="H3855" s="12"/>
      <c r="I3855" s="12"/>
      <c r="J3855" s="12"/>
      <c r="K3855" s="12"/>
      <c r="L3855" s="12"/>
      <c r="M3855" s="11"/>
      <c r="N3855" s="11"/>
      <c r="O3855" s="11"/>
      <c r="P3855" s="11"/>
    </row>
    <row r="3856" spans="8:16" x14ac:dyDescent="0.25">
      <c r="H3856" s="12"/>
      <c r="I3856" s="12"/>
      <c r="J3856" s="12"/>
      <c r="K3856" s="12"/>
      <c r="L3856" s="12"/>
      <c r="M3856" s="11"/>
      <c r="N3856" s="11"/>
      <c r="O3856" s="11"/>
      <c r="P3856" s="11"/>
    </row>
    <row r="3857" spans="8:16" x14ac:dyDescent="0.25">
      <c r="H3857" s="12"/>
      <c r="I3857" s="12"/>
      <c r="J3857" s="12"/>
      <c r="K3857" s="12"/>
      <c r="L3857" s="12"/>
      <c r="M3857" s="11"/>
      <c r="N3857" s="11"/>
      <c r="O3857" s="11"/>
      <c r="P3857" s="11"/>
    </row>
    <row r="3858" spans="8:16" x14ac:dyDescent="0.25">
      <c r="H3858" s="12"/>
      <c r="I3858" s="12"/>
      <c r="J3858" s="12"/>
      <c r="K3858" s="12"/>
      <c r="L3858" s="12"/>
      <c r="M3858" s="11"/>
      <c r="N3858" s="11"/>
      <c r="O3858" s="11"/>
      <c r="P3858" s="11"/>
    </row>
    <row r="3859" spans="8:16" x14ac:dyDescent="0.25">
      <c r="H3859" s="12"/>
      <c r="I3859" s="12"/>
      <c r="J3859" s="12"/>
      <c r="K3859" s="12"/>
      <c r="L3859" s="12"/>
      <c r="M3859" s="11"/>
      <c r="N3859" s="11"/>
      <c r="O3859" s="11"/>
      <c r="P3859" s="11"/>
    </row>
    <row r="3860" spans="8:16" x14ac:dyDescent="0.25">
      <c r="H3860" s="12"/>
      <c r="I3860" s="12"/>
      <c r="J3860" s="12"/>
      <c r="K3860" s="12"/>
      <c r="L3860" s="12"/>
      <c r="M3860" s="11"/>
      <c r="N3860" s="11"/>
      <c r="O3860" s="11"/>
      <c r="P3860" s="11"/>
    </row>
    <row r="3861" spans="8:16" x14ac:dyDescent="0.25">
      <c r="H3861" s="12"/>
      <c r="I3861" s="12"/>
      <c r="J3861" s="12"/>
      <c r="K3861" s="12"/>
      <c r="L3861" s="12"/>
      <c r="M3861" s="11"/>
      <c r="N3861" s="11"/>
      <c r="O3861" s="11"/>
      <c r="P3861" s="11"/>
    </row>
    <row r="3862" spans="8:16" x14ac:dyDescent="0.25">
      <c r="H3862" s="12"/>
      <c r="I3862" s="12"/>
      <c r="J3862" s="12"/>
      <c r="K3862" s="12"/>
      <c r="L3862" s="12"/>
      <c r="M3862" s="11"/>
      <c r="N3862" s="11"/>
      <c r="O3862" s="11"/>
      <c r="P3862" s="11"/>
    </row>
    <row r="3863" spans="8:16" x14ac:dyDescent="0.25">
      <c r="H3863" s="12"/>
      <c r="I3863" s="12"/>
      <c r="J3863" s="12"/>
      <c r="K3863" s="12"/>
      <c r="L3863" s="12"/>
      <c r="M3863" s="11"/>
      <c r="N3863" s="11"/>
      <c r="O3863" s="11"/>
      <c r="P3863" s="11"/>
    </row>
    <row r="3864" spans="8:16" x14ac:dyDescent="0.25">
      <c r="H3864" s="12"/>
      <c r="I3864" s="12"/>
      <c r="J3864" s="12"/>
      <c r="K3864" s="12"/>
      <c r="L3864" s="12"/>
      <c r="M3864" s="11"/>
      <c r="N3864" s="11"/>
      <c r="O3864" s="11"/>
      <c r="P3864" s="11"/>
    </row>
    <row r="3865" spans="8:16" x14ac:dyDescent="0.25">
      <c r="H3865" s="12"/>
      <c r="I3865" s="12"/>
      <c r="J3865" s="12"/>
      <c r="K3865" s="12"/>
      <c r="L3865" s="12"/>
      <c r="M3865" s="11"/>
      <c r="N3865" s="11"/>
      <c r="O3865" s="11"/>
      <c r="P3865" s="11"/>
    </row>
    <row r="3866" spans="8:16" x14ac:dyDescent="0.25">
      <c r="H3866" s="12"/>
      <c r="I3866" s="12"/>
      <c r="J3866" s="12"/>
      <c r="K3866" s="12"/>
      <c r="L3866" s="12"/>
      <c r="M3866" s="11"/>
      <c r="N3866" s="11"/>
      <c r="O3866" s="11"/>
      <c r="P3866" s="11"/>
    </row>
    <row r="3867" spans="8:16" x14ac:dyDescent="0.25">
      <c r="H3867" s="12"/>
      <c r="I3867" s="12"/>
      <c r="J3867" s="12"/>
      <c r="K3867" s="12"/>
      <c r="L3867" s="12"/>
      <c r="M3867" s="11"/>
      <c r="N3867" s="11"/>
      <c r="O3867" s="11"/>
      <c r="P3867" s="11"/>
    </row>
    <row r="3868" spans="8:16" x14ac:dyDescent="0.25">
      <c r="H3868" s="12"/>
      <c r="I3868" s="12"/>
      <c r="J3868" s="12"/>
      <c r="K3868" s="12"/>
      <c r="L3868" s="12"/>
      <c r="M3868" s="11"/>
      <c r="N3868" s="11"/>
      <c r="O3868" s="11"/>
      <c r="P3868" s="11"/>
    </row>
    <row r="3869" spans="8:16" x14ac:dyDescent="0.25">
      <c r="H3869" s="12"/>
      <c r="I3869" s="12"/>
      <c r="J3869" s="12"/>
      <c r="K3869" s="12"/>
      <c r="L3869" s="12"/>
      <c r="M3869" s="11"/>
      <c r="N3869" s="11"/>
      <c r="O3869" s="11"/>
      <c r="P3869" s="11"/>
    </row>
    <row r="3870" spans="8:16" x14ac:dyDescent="0.25">
      <c r="H3870" s="12"/>
      <c r="I3870" s="12"/>
      <c r="J3870" s="12"/>
      <c r="K3870" s="12"/>
      <c r="L3870" s="12"/>
      <c r="M3870" s="11"/>
      <c r="N3870" s="11"/>
      <c r="O3870" s="11"/>
      <c r="P3870" s="11"/>
    </row>
    <row r="3871" spans="8:16" x14ac:dyDescent="0.25">
      <c r="H3871" s="12"/>
      <c r="I3871" s="12"/>
      <c r="J3871" s="12"/>
      <c r="K3871" s="12"/>
      <c r="L3871" s="12"/>
      <c r="M3871" s="11"/>
      <c r="N3871" s="11"/>
      <c r="O3871" s="11"/>
      <c r="P3871" s="11"/>
    </row>
    <row r="3872" spans="8:16" x14ac:dyDescent="0.25">
      <c r="H3872" s="12"/>
      <c r="I3872" s="12"/>
      <c r="J3872" s="12"/>
      <c r="K3872" s="12"/>
      <c r="L3872" s="12"/>
      <c r="M3872" s="11"/>
      <c r="N3872" s="11"/>
      <c r="O3872" s="11"/>
      <c r="P3872" s="11"/>
    </row>
    <row r="3873" spans="8:16" x14ac:dyDescent="0.25">
      <c r="H3873" s="12"/>
      <c r="I3873" s="12"/>
      <c r="J3873" s="12"/>
      <c r="K3873" s="12"/>
      <c r="L3873" s="12"/>
      <c r="M3873" s="11"/>
      <c r="N3873" s="11"/>
      <c r="O3873" s="11"/>
      <c r="P3873" s="11"/>
    </row>
    <row r="3874" spans="8:16" x14ac:dyDescent="0.25">
      <c r="H3874" s="12"/>
      <c r="I3874" s="12"/>
      <c r="J3874" s="12"/>
      <c r="K3874" s="12"/>
      <c r="L3874" s="12"/>
      <c r="M3874" s="11"/>
      <c r="N3874" s="11"/>
      <c r="O3874" s="11"/>
      <c r="P3874" s="11"/>
    </row>
    <row r="3875" spans="8:16" x14ac:dyDescent="0.25">
      <c r="H3875" s="12"/>
      <c r="I3875" s="12"/>
      <c r="J3875" s="12"/>
      <c r="K3875" s="12"/>
      <c r="L3875" s="12"/>
      <c r="M3875" s="11"/>
      <c r="N3875" s="11"/>
      <c r="O3875" s="11"/>
      <c r="P3875" s="11"/>
    </row>
    <row r="3876" spans="8:16" x14ac:dyDescent="0.25">
      <c r="H3876" s="12"/>
      <c r="I3876" s="12"/>
      <c r="J3876" s="12"/>
      <c r="K3876" s="12"/>
      <c r="L3876" s="12"/>
      <c r="M3876" s="11"/>
      <c r="N3876" s="11"/>
      <c r="O3876" s="11"/>
      <c r="P3876" s="11"/>
    </row>
    <row r="3877" spans="8:16" x14ac:dyDescent="0.25">
      <c r="H3877" s="12"/>
      <c r="I3877" s="12"/>
      <c r="J3877" s="12"/>
      <c r="K3877" s="12"/>
      <c r="L3877" s="12"/>
      <c r="M3877" s="11"/>
      <c r="N3877" s="11"/>
      <c r="O3877" s="11"/>
      <c r="P3877" s="11"/>
    </row>
    <row r="3878" spans="8:16" x14ac:dyDescent="0.25">
      <c r="H3878" s="12"/>
      <c r="I3878" s="12"/>
      <c r="J3878" s="12"/>
      <c r="K3878" s="12"/>
      <c r="L3878" s="12"/>
      <c r="M3878" s="11"/>
      <c r="N3878" s="11"/>
      <c r="O3878" s="11"/>
      <c r="P3878" s="11"/>
    </row>
    <row r="3879" spans="8:16" x14ac:dyDescent="0.25">
      <c r="H3879" s="12"/>
      <c r="I3879" s="12"/>
      <c r="J3879" s="12"/>
      <c r="K3879" s="12"/>
      <c r="L3879" s="12"/>
      <c r="M3879" s="11"/>
      <c r="N3879" s="11"/>
      <c r="O3879" s="11"/>
      <c r="P3879" s="11"/>
    </row>
    <row r="3880" spans="8:16" x14ac:dyDescent="0.25">
      <c r="H3880" s="12"/>
      <c r="I3880" s="12"/>
      <c r="J3880" s="12"/>
      <c r="K3880" s="12"/>
      <c r="L3880" s="12"/>
      <c r="M3880" s="11"/>
      <c r="N3880" s="11"/>
      <c r="O3880" s="11"/>
      <c r="P3880" s="11"/>
    </row>
    <row r="3881" spans="8:16" x14ac:dyDescent="0.25">
      <c r="H3881" s="12"/>
      <c r="I3881" s="12"/>
      <c r="J3881" s="12"/>
      <c r="K3881" s="12"/>
      <c r="L3881" s="12"/>
      <c r="M3881" s="11"/>
      <c r="N3881" s="11"/>
      <c r="O3881" s="11"/>
      <c r="P3881" s="11"/>
    </row>
    <row r="3882" spans="8:16" x14ac:dyDescent="0.25">
      <c r="H3882" s="12"/>
      <c r="I3882" s="12"/>
      <c r="J3882" s="12"/>
      <c r="K3882" s="12"/>
      <c r="L3882" s="12"/>
      <c r="M3882" s="11"/>
      <c r="N3882" s="11"/>
      <c r="O3882" s="11"/>
      <c r="P3882" s="11"/>
    </row>
    <row r="3883" spans="8:16" x14ac:dyDescent="0.25">
      <c r="H3883" s="12"/>
      <c r="I3883" s="12"/>
      <c r="J3883" s="12"/>
      <c r="K3883" s="12"/>
      <c r="L3883" s="12"/>
      <c r="M3883" s="11"/>
      <c r="N3883" s="11"/>
      <c r="O3883" s="11"/>
      <c r="P3883" s="11"/>
    </row>
    <row r="3884" spans="8:16" x14ac:dyDescent="0.25">
      <c r="H3884" s="12"/>
      <c r="I3884" s="12"/>
      <c r="J3884" s="12"/>
      <c r="K3884" s="12"/>
      <c r="L3884" s="12"/>
      <c r="M3884" s="11"/>
      <c r="N3884" s="11"/>
      <c r="O3884" s="11"/>
      <c r="P3884" s="11"/>
    </row>
    <row r="3885" spans="8:16" x14ac:dyDescent="0.25">
      <c r="H3885" s="12"/>
      <c r="I3885" s="12"/>
      <c r="J3885" s="12"/>
      <c r="K3885" s="12"/>
      <c r="L3885" s="12"/>
      <c r="M3885" s="11"/>
      <c r="N3885" s="11"/>
      <c r="O3885" s="11"/>
      <c r="P3885" s="11"/>
    </row>
    <row r="3886" spans="8:16" x14ac:dyDescent="0.25">
      <c r="H3886" s="12"/>
      <c r="I3886" s="12"/>
      <c r="J3886" s="12"/>
      <c r="K3886" s="12"/>
      <c r="L3886" s="12"/>
      <c r="M3886" s="11"/>
      <c r="N3886" s="11"/>
      <c r="O3886" s="11"/>
      <c r="P3886" s="11"/>
    </row>
    <row r="3887" spans="8:16" x14ac:dyDescent="0.25">
      <c r="H3887" s="12"/>
      <c r="I3887" s="12"/>
      <c r="J3887" s="12"/>
      <c r="K3887" s="12"/>
      <c r="L3887" s="12"/>
      <c r="M3887" s="11"/>
      <c r="N3887" s="11"/>
      <c r="O3887" s="11"/>
      <c r="P3887" s="11"/>
    </row>
    <row r="3888" spans="8:16" x14ac:dyDescent="0.25">
      <c r="H3888" s="12"/>
      <c r="I3888" s="12"/>
      <c r="J3888" s="12"/>
      <c r="K3888" s="12"/>
      <c r="L3888" s="12"/>
      <c r="M3888" s="11"/>
      <c r="N3888" s="11"/>
      <c r="O3888" s="11"/>
      <c r="P3888" s="11"/>
    </row>
    <row r="3889" spans="8:16" x14ac:dyDescent="0.25">
      <c r="H3889" s="12"/>
      <c r="I3889" s="12"/>
      <c r="J3889" s="12"/>
      <c r="K3889" s="12"/>
      <c r="L3889" s="12"/>
      <c r="M3889" s="11"/>
      <c r="N3889" s="11"/>
      <c r="O3889" s="11"/>
      <c r="P3889" s="11"/>
    </row>
    <row r="3890" spans="8:16" x14ac:dyDescent="0.25">
      <c r="H3890" s="12"/>
      <c r="I3890" s="12"/>
      <c r="J3890" s="12"/>
      <c r="K3890" s="12"/>
      <c r="L3890" s="12"/>
      <c r="M3890" s="11"/>
      <c r="N3890" s="11"/>
      <c r="O3890" s="11"/>
      <c r="P3890" s="11"/>
    </row>
    <row r="3891" spans="8:16" x14ac:dyDescent="0.25">
      <c r="H3891" s="12"/>
      <c r="I3891" s="12"/>
      <c r="J3891" s="12"/>
      <c r="K3891" s="12"/>
      <c r="L3891" s="12"/>
      <c r="M3891" s="11"/>
      <c r="N3891" s="11"/>
      <c r="O3891" s="11"/>
      <c r="P3891" s="11"/>
    </row>
    <row r="3892" spans="8:16" x14ac:dyDescent="0.25">
      <c r="H3892" s="12"/>
      <c r="I3892" s="12"/>
      <c r="J3892" s="12"/>
      <c r="K3892" s="12"/>
      <c r="L3892" s="12"/>
      <c r="M3892" s="11"/>
      <c r="N3892" s="11"/>
      <c r="O3892" s="11"/>
      <c r="P3892" s="11"/>
    </row>
    <row r="3893" spans="8:16" x14ac:dyDescent="0.25">
      <c r="H3893" s="12"/>
      <c r="I3893" s="12"/>
      <c r="J3893" s="12"/>
      <c r="K3893" s="12"/>
      <c r="L3893" s="12"/>
      <c r="M3893" s="11"/>
      <c r="N3893" s="11"/>
      <c r="O3893" s="11"/>
      <c r="P3893" s="11"/>
    </row>
    <row r="3894" spans="8:16" x14ac:dyDescent="0.25">
      <c r="H3894" s="12"/>
      <c r="I3894" s="12"/>
      <c r="J3894" s="12"/>
      <c r="K3894" s="12"/>
      <c r="L3894" s="12"/>
      <c r="M3894" s="11"/>
      <c r="N3894" s="11"/>
      <c r="O3894" s="11"/>
      <c r="P3894" s="11"/>
    </row>
    <row r="3895" spans="8:16" x14ac:dyDescent="0.25">
      <c r="H3895" s="12"/>
      <c r="I3895" s="12"/>
      <c r="J3895" s="12"/>
      <c r="K3895" s="12"/>
      <c r="L3895" s="12"/>
      <c r="M3895" s="11"/>
      <c r="N3895" s="11"/>
      <c r="O3895" s="11"/>
      <c r="P3895" s="11"/>
    </row>
    <row r="3896" spans="8:16" x14ac:dyDescent="0.25">
      <c r="H3896" s="12"/>
      <c r="I3896" s="12"/>
      <c r="J3896" s="12"/>
      <c r="K3896" s="12"/>
      <c r="L3896" s="12"/>
      <c r="M3896" s="11"/>
      <c r="N3896" s="11"/>
      <c r="O3896" s="11"/>
      <c r="P3896" s="11"/>
    </row>
    <row r="3897" spans="8:16" x14ac:dyDescent="0.25">
      <c r="H3897" s="12"/>
      <c r="I3897" s="12"/>
      <c r="J3897" s="12"/>
      <c r="K3897" s="12"/>
      <c r="L3897" s="12"/>
      <c r="M3897" s="11"/>
      <c r="N3897" s="11"/>
      <c r="O3897" s="11"/>
      <c r="P3897" s="11"/>
    </row>
    <row r="3898" spans="8:16" x14ac:dyDescent="0.25">
      <c r="H3898" s="12"/>
      <c r="I3898" s="12"/>
      <c r="J3898" s="12"/>
      <c r="K3898" s="12"/>
      <c r="L3898" s="12"/>
      <c r="M3898" s="11"/>
      <c r="N3898" s="11"/>
      <c r="O3898" s="11"/>
      <c r="P3898" s="11"/>
    </row>
    <row r="3899" spans="8:16" x14ac:dyDescent="0.25">
      <c r="H3899" s="12"/>
      <c r="I3899" s="12"/>
      <c r="J3899" s="12"/>
      <c r="K3899" s="12"/>
      <c r="L3899" s="12"/>
      <c r="M3899" s="11"/>
      <c r="N3899" s="11"/>
      <c r="O3899" s="11"/>
      <c r="P3899" s="11"/>
    </row>
    <row r="3900" spans="8:16" x14ac:dyDescent="0.25">
      <c r="H3900" s="12"/>
      <c r="I3900" s="12"/>
      <c r="J3900" s="12"/>
      <c r="K3900" s="12"/>
      <c r="L3900" s="12"/>
      <c r="M3900" s="11"/>
      <c r="N3900" s="11"/>
      <c r="O3900" s="11"/>
      <c r="P3900" s="11"/>
    </row>
    <row r="3901" spans="8:16" x14ac:dyDescent="0.25">
      <c r="H3901" s="12"/>
      <c r="I3901" s="12"/>
      <c r="J3901" s="12"/>
      <c r="K3901" s="12"/>
      <c r="L3901" s="12"/>
      <c r="M3901" s="11"/>
      <c r="N3901" s="11"/>
      <c r="O3901" s="11"/>
      <c r="P3901" s="11"/>
    </row>
    <row r="3902" spans="8:16" x14ac:dyDescent="0.25">
      <c r="H3902" s="12"/>
      <c r="I3902" s="12"/>
      <c r="J3902" s="12"/>
      <c r="K3902" s="12"/>
      <c r="L3902" s="12"/>
      <c r="M3902" s="11"/>
      <c r="N3902" s="11"/>
      <c r="O3902" s="11"/>
      <c r="P3902" s="11"/>
    </row>
    <row r="3903" spans="8:16" x14ac:dyDescent="0.25">
      <c r="H3903" s="12"/>
      <c r="I3903" s="12"/>
      <c r="J3903" s="12"/>
      <c r="K3903" s="12"/>
      <c r="L3903" s="12"/>
      <c r="M3903" s="11"/>
      <c r="N3903" s="11"/>
      <c r="O3903" s="11"/>
      <c r="P3903" s="11"/>
    </row>
    <row r="3904" spans="8:16" x14ac:dyDescent="0.25">
      <c r="H3904" s="12"/>
      <c r="I3904" s="12"/>
      <c r="J3904" s="12"/>
      <c r="K3904" s="12"/>
      <c r="L3904" s="12"/>
      <c r="M3904" s="11"/>
      <c r="N3904" s="11"/>
      <c r="O3904" s="11"/>
      <c r="P3904" s="11"/>
    </row>
    <row r="3905" spans="8:16" x14ac:dyDescent="0.25">
      <c r="H3905" s="12"/>
      <c r="I3905" s="12"/>
      <c r="J3905" s="12"/>
      <c r="K3905" s="12"/>
      <c r="L3905" s="12"/>
      <c r="M3905" s="11"/>
      <c r="N3905" s="11"/>
      <c r="O3905" s="11"/>
      <c r="P3905" s="11"/>
    </row>
    <row r="3906" spans="8:16" x14ac:dyDescent="0.25">
      <c r="H3906" s="12"/>
      <c r="I3906" s="12"/>
      <c r="J3906" s="12"/>
      <c r="K3906" s="12"/>
      <c r="L3906" s="12"/>
      <c r="M3906" s="11"/>
      <c r="N3906" s="11"/>
      <c r="O3906" s="11"/>
      <c r="P3906" s="11"/>
    </row>
    <row r="3907" spans="8:16" x14ac:dyDescent="0.25">
      <c r="H3907" s="12"/>
      <c r="I3907" s="12"/>
      <c r="J3907" s="12"/>
      <c r="K3907" s="12"/>
      <c r="L3907" s="12"/>
      <c r="M3907" s="11"/>
      <c r="N3907" s="11"/>
      <c r="O3907" s="11"/>
      <c r="P3907" s="11"/>
    </row>
    <row r="3908" spans="8:16" x14ac:dyDescent="0.25">
      <c r="H3908" s="12"/>
      <c r="I3908" s="12"/>
      <c r="J3908" s="12"/>
      <c r="K3908" s="12"/>
      <c r="L3908" s="12"/>
      <c r="M3908" s="11"/>
      <c r="N3908" s="11"/>
      <c r="O3908" s="11"/>
      <c r="P3908" s="11"/>
    </row>
    <row r="3909" spans="8:16" x14ac:dyDescent="0.25">
      <c r="H3909" s="12"/>
      <c r="I3909" s="12"/>
      <c r="J3909" s="12"/>
      <c r="K3909" s="12"/>
      <c r="L3909" s="12"/>
      <c r="M3909" s="11"/>
      <c r="N3909" s="11"/>
      <c r="O3909" s="11"/>
      <c r="P3909" s="11"/>
    </row>
    <row r="3910" spans="8:16" x14ac:dyDescent="0.25">
      <c r="H3910" s="12"/>
      <c r="I3910" s="12"/>
      <c r="J3910" s="12"/>
      <c r="K3910" s="12"/>
      <c r="L3910" s="12"/>
      <c r="M3910" s="11"/>
      <c r="N3910" s="11"/>
      <c r="O3910" s="11"/>
      <c r="P3910" s="11"/>
    </row>
    <row r="3911" spans="8:16" x14ac:dyDescent="0.25">
      <c r="H3911" s="12"/>
      <c r="I3911" s="12"/>
      <c r="J3911" s="12"/>
      <c r="K3911" s="12"/>
      <c r="L3911" s="12"/>
      <c r="M3911" s="11"/>
      <c r="N3911" s="11"/>
      <c r="O3911" s="11"/>
      <c r="P3911" s="11"/>
    </row>
    <row r="3912" spans="8:16" x14ac:dyDescent="0.25">
      <c r="H3912" s="12"/>
      <c r="I3912" s="12"/>
      <c r="J3912" s="12"/>
      <c r="K3912" s="12"/>
      <c r="L3912" s="12"/>
      <c r="M3912" s="11"/>
      <c r="N3912" s="11"/>
      <c r="O3912" s="11"/>
      <c r="P3912" s="11"/>
    </row>
    <row r="3913" spans="8:16" x14ac:dyDescent="0.25">
      <c r="H3913" s="12"/>
      <c r="I3913" s="12"/>
      <c r="J3913" s="12"/>
      <c r="K3913" s="12"/>
      <c r="L3913" s="12"/>
      <c r="M3913" s="11"/>
      <c r="N3913" s="11"/>
      <c r="O3913" s="11"/>
      <c r="P3913" s="11"/>
    </row>
    <row r="3914" spans="8:16" x14ac:dyDescent="0.25">
      <c r="H3914" s="12"/>
      <c r="I3914" s="12"/>
      <c r="J3914" s="12"/>
      <c r="K3914" s="12"/>
      <c r="L3914" s="12"/>
      <c r="M3914" s="11"/>
      <c r="N3914" s="11"/>
      <c r="O3914" s="11"/>
      <c r="P3914" s="11"/>
    </row>
    <row r="3915" spans="8:16" x14ac:dyDescent="0.25">
      <c r="H3915" s="12"/>
      <c r="I3915" s="12"/>
      <c r="J3915" s="12"/>
      <c r="K3915" s="12"/>
      <c r="L3915" s="12"/>
      <c r="M3915" s="11"/>
      <c r="N3915" s="11"/>
      <c r="O3915" s="11"/>
      <c r="P3915" s="11"/>
    </row>
    <row r="3916" spans="8:16" x14ac:dyDescent="0.25">
      <c r="H3916" s="12"/>
      <c r="I3916" s="12"/>
      <c r="J3916" s="12"/>
      <c r="K3916" s="12"/>
      <c r="L3916" s="12"/>
      <c r="M3916" s="11"/>
      <c r="N3916" s="11"/>
      <c r="O3916" s="11"/>
      <c r="P3916" s="11"/>
    </row>
    <row r="3917" spans="8:16" x14ac:dyDescent="0.25">
      <c r="H3917" s="12"/>
      <c r="I3917" s="12"/>
      <c r="J3917" s="12"/>
      <c r="K3917" s="12"/>
      <c r="L3917" s="12"/>
      <c r="M3917" s="11"/>
      <c r="N3917" s="11"/>
      <c r="O3917" s="11"/>
      <c r="P3917" s="11"/>
    </row>
    <row r="3918" spans="8:16" x14ac:dyDescent="0.25">
      <c r="H3918" s="12"/>
      <c r="I3918" s="12"/>
      <c r="J3918" s="12"/>
      <c r="K3918" s="12"/>
      <c r="L3918" s="12"/>
      <c r="M3918" s="11"/>
      <c r="N3918" s="11"/>
      <c r="O3918" s="11"/>
      <c r="P3918" s="11"/>
    </row>
    <row r="3919" spans="8:16" x14ac:dyDescent="0.25">
      <c r="H3919" s="12"/>
      <c r="I3919" s="12"/>
      <c r="J3919" s="12"/>
      <c r="K3919" s="12"/>
      <c r="L3919" s="12"/>
      <c r="M3919" s="11"/>
      <c r="N3919" s="11"/>
      <c r="O3919" s="11"/>
      <c r="P3919" s="11"/>
    </row>
    <row r="3920" spans="8:16" x14ac:dyDescent="0.25">
      <c r="H3920" s="12"/>
      <c r="I3920" s="12"/>
      <c r="J3920" s="12"/>
      <c r="K3920" s="12"/>
      <c r="L3920" s="12"/>
      <c r="M3920" s="11"/>
      <c r="N3920" s="11"/>
      <c r="O3920" s="11"/>
      <c r="P3920" s="11"/>
    </row>
    <row r="3921" spans="8:16" x14ac:dyDescent="0.25">
      <c r="H3921" s="12"/>
      <c r="I3921" s="12"/>
      <c r="J3921" s="12"/>
      <c r="K3921" s="12"/>
      <c r="L3921" s="12"/>
      <c r="M3921" s="11"/>
      <c r="N3921" s="11"/>
      <c r="O3921" s="11"/>
      <c r="P3921" s="11"/>
    </row>
    <row r="3922" spans="8:16" x14ac:dyDescent="0.25">
      <c r="H3922" s="12"/>
      <c r="I3922" s="12"/>
      <c r="J3922" s="12"/>
      <c r="K3922" s="12"/>
      <c r="L3922" s="12"/>
      <c r="M3922" s="11"/>
      <c r="N3922" s="11"/>
      <c r="O3922" s="11"/>
      <c r="P3922" s="11"/>
    </row>
    <row r="3923" spans="8:16" x14ac:dyDescent="0.25">
      <c r="H3923" s="12"/>
      <c r="I3923" s="12"/>
      <c r="J3923" s="12"/>
      <c r="K3923" s="12"/>
      <c r="L3923" s="12"/>
      <c r="M3923" s="11"/>
      <c r="N3923" s="11"/>
      <c r="O3923" s="11"/>
      <c r="P3923" s="11"/>
    </row>
    <row r="3924" spans="8:16" x14ac:dyDescent="0.25">
      <c r="H3924" s="12"/>
      <c r="I3924" s="12"/>
      <c r="J3924" s="12"/>
      <c r="K3924" s="12"/>
      <c r="L3924" s="12"/>
      <c r="M3924" s="11"/>
      <c r="N3924" s="11"/>
      <c r="O3924" s="11"/>
      <c r="P3924" s="11"/>
    </row>
    <row r="3925" spans="8:16" x14ac:dyDescent="0.25">
      <c r="H3925" s="12"/>
      <c r="I3925" s="12"/>
      <c r="J3925" s="12"/>
      <c r="K3925" s="12"/>
      <c r="L3925" s="12"/>
      <c r="M3925" s="11"/>
      <c r="N3925" s="11"/>
      <c r="O3925" s="11"/>
      <c r="P3925" s="11"/>
    </row>
    <row r="3926" spans="8:16" x14ac:dyDescent="0.25">
      <c r="H3926" s="12"/>
      <c r="I3926" s="12"/>
      <c r="J3926" s="12"/>
      <c r="K3926" s="12"/>
      <c r="L3926" s="12"/>
      <c r="M3926" s="11"/>
      <c r="N3926" s="11"/>
      <c r="O3926" s="11"/>
      <c r="P3926" s="11"/>
    </row>
    <row r="3927" spans="8:16" x14ac:dyDescent="0.25">
      <c r="H3927" s="12"/>
      <c r="I3927" s="12"/>
      <c r="J3927" s="12"/>
      <c r="K3927" s="12"/>
      <c r="L3927" s="12"/>
      <c r="M3927" s="11"/>
      <c r="N3927" s="11"/>
      <c r="O3927" s="11"/>
      <c r="P3927" s="11"/>
    </row>
    <row r="3928" spans="8:16" x14ac:dyDescent="0.25">
      <c r="H3928" s="12"/>
      <c r="I3928" s="12"/>
      <c r="J3928" s="12"/>
      <c r="K3928" s="12"/>
      <c r="L3928" s="12"/>
      <c r="M3928" s="11"/>
      <c r="N3928" s="11"/>
      <c r="O3928" s="11"/>
      <c r="P3928" s="11"/>
    </row>
    <row r="3929" spans="8:16" x14ac:dyDescent="0.25">
      <c r="H3929" s="12"/>
      <c r="I3929" s="12"/>
      <c r="J3929" s="12"/>
      <c r="K3929" s="12"/>
      <c r="L3929" s="12"/>
      <c r="M3929" s="11"/>
      <c r="N3929" s="11"/>
      <c r="O3929" s="11"/>
      <c r="P3929" s="11"/>
    </row>
    <row r="3930" spans="8:16" x14ac:dyDescent="0.25">
      <c r="H3930" s="12"/>
      <c r="I3930" s="12"/>
      <c r="J3930" s="12"/>
      <c r="K3930" s="12"/>
      <c r="L3930" s="12"/>
      <c r="M3930" s="11"/>
      <c r="N3930" s="11"/>
      <c r="O3930" s="11"/>
      <c r="P3930" s="11"/>
    </row>
    <row r="3931" spans="8:16" x14ac:dyDescent="0.25">
      <c r="H3931" s="12"/>
      <c r="I3931" s="12"/>
      <c r="J3931" s="12"/>
      <c r="K3931" s="12"/>
      <c r="L3931" s="12"/>
      <c r="M3931" s="11"/>
      <c r="N3931" s="11"/>
      <c r="O3931" s="11"/>
      <c r="P3931" s="11"/>
    </row>
    <row r="3932" spans="8:16" x14ac:dyDescent="0.25">
      <c r="H3932" s="12"/>
      <c r="I3932" s="12"/>
      <c r="J3932" s="12"/>
      <c r="K3932" s="12"/>
      <c r="L3932" s="12"/>
      <c r="M3932" s="11"/>
      <c r="N3932" s="11"/>
      <c r="O3932" s="11"/>
      <c r="P3932" s="11"/>
    </row>
    <row r="3933" spans="8:16" x14ac:dyDescent="0.25">
      <c r="H3933" s="12"/>
      <c r="I3933" s="12"/>
      <c r="J3933" s="12"/>
      <c r="K3933" s="12"/>
      <c r="L3933" s="12"/>
      <c r="M3933" s="11"/>
      <c r="N3933" s="11"/>
      <c r="O3933" s="11"/>
      <c r="P3933" s="11"/>
    </row>
    <row r="3934" spans="8:16" x14ac:dyDescent="0.25">
      <c r="H3934" s="12"/>
      <c r="I3934" s="12"/>
      <c r="J3934" s="12"/>
      <c r="K3934" s="12"/>
      <c r="L3934" s="12"/>
      <c r="M3934" s="11"/>
      <c r="N3934" s="11"/>
      <c r="O3934" s="11"/>
      <c r="P3934" s="11"/>
    </row>
    <row r="3935" spans="8:16" x14ac:dyDescent="0.25">
      <c r="H3935" s="12"/>
      <c r="I3935" s="12"/>
      <c r="J3935" s="12"/>
      <c r="K3935" s="12"/>
      <c r="L3935" s="12"/>
      <c r="M3935" s="11"/>
      <c r="N3935" s="11"/>
      <c r="O3935" s="11"/>
      <c r="P3935" s="11"/>
    </row>
    <row r="3936" spans="8:16" x14ac:dyDescent="0.25">
      <c r="H3936" s="12"/>
      <c r="I3936" s="12"/>
      <c r="J3936" s="12"/>
      <c r="K3936" s="12"/>
      <c r="L3936" s="12"/>
      <c r="M3936" s="11"/>
      <c r="N3936" s="11"/>
      <c r="O3936" s="11"/>
      <c r="P3936" s="11"/>
    </row>
    <row r="3937" spans="8:16" x14ac:dyDescent="0.25">
      <c r="H3937" s="12"/>
      <c r="I3937" s="12"/>
      <c r="J3937" s="12"/>
      <c r="K3937" s="12"/>
      <c r="L3937" s="12"/>
      <c r="M3937" s="11"/>
      <c r="N3937" s="11"/>
      <c r="O3937" s="11"/>
      <c r="P3937" s="11"/>
    </row>
    <row r="3938" spans="8:16" x14ac:dyDescent="0.25">
      <c r="H3938" s="12"/>
      <c r="I3938" s="12"/>
      <c r="J3938" s="12"/>
      <c r="K3938" s="12"/>
      <c r="L3938" s="12"/>
      <c r="M3938" s="11"/>
      <c r="N3938" s="11"/>
      <c r="O3938" s="11"/>
      <c r="P3938" s="11"/>
    </row>
    <row r="3939" spans="8:16" x14ac:dyDescent="0.25">
      <c r="H3939" s="12"/>
      <c r="I3939" s="12"/>
      <c r="J3939" s="12"/>
      <c r="K3939" s="12"/>
      <c r="L3939" s="12"/>
      <c r="M3939" s="11"/>
      <c r="N3939" s="11"/>
      <c r="O3939" s="11"/>
      <c r="P3939" s="11"/>
    </row>
    <row r="3940" spans="8:16" x14ac:dyDescent="0.25">
      <c r="H3940" s="12"/>
      <c r="I3940" s="12"/>
      <c r="J3940" s="12"/>
      <c r="K3940" s="12"/>
      <c r="L3940" s="12"/>
      <c r="M3940" s="11"/>
      <c r="N3940" s="11"/>
      <c r="O3940" s="11"/>
      <c r="P3940" s="11"/>
    </row>
    <row r="3941" spans="8:16" x14ac:dyDescent="0.25">
      <c r="H3941" s="12"/>
      <c r="I3941" s="12"/>
      <c r="J3941" s="12"/>
      <c r="K3941" s="12"/>
      <c r="L3941" s="12"/>
      <c r="M3941" s="11"/>
      <c r="N3941" s="11"/>
      <c r="O3941" s="11"/>
      <c r="P3941" s="11"/>
    </row>
    <row r="3942" spans="8:16" x14ac:dyDescent="0.25">
      <c r="H3942" s="12"/>
      <c r="I3942" s="12"/>
      <c r="J3942" s="12"/>
      <c r="K3942" s="12"/>
      <c r="L3942" s="12"/>
      <c r="M3942" s="11"/>
      <c r="N3942" s="11"/>
      <c r="O3942" s="11"/>
      <c r="P3942" s="11"/>
    </row>
    <row r="3943" spans="8:16" x14ac:dyDescent="0.25">
      <c r="H3943" s="12"/>
      <c r="I3943" s="12"/>
      <c r="J3943" s="12"/>
      <c r="K3943" s="12"/>
      <c r="L3943" s="12"/>
      <c r="M3943" s="11"/>
      <c r="N3943" s="11"/>
      <c r="O3943" s="11"/>
      <c r="P3943" s="11"/>
    </row>
    <row r="3944" spans="8:16" x14ac:dyDescent="0.25">
      <c r="H3944" s="12"/>
      <c r="I3944" s="12"/>
      <c r="J3944" s="12"/>
      <c r="K3944" s="12"/>
      <c r="L3944" s="12"/>
      <c r="M3944" s="11"/>
      <c r="N3944" s="11"/>
      <c r="O3944" s="11"/>
      <c r="P3944" s="11"/>
    </row>
    <row r="3945" spans="8:16" x14ac:dyDescent="0.25">
      <c r="H3945" s="12"/>
      <c r="I3945" s="12"/>
      <c r="J3945" s="12"/>
      <c r="K3945" s="12"/>
      <c r="L3945" s="12"/>
      <c r="M3945" s="11"/>
      <c r="N3945" s="11"/>
      <c r="O3945" s="11"/>
      <c r="P3945" s="11"/>
    </row>
    <row r="3946" spans="8:16" x14ac:dyDescent="0.25">
      <c r="H3946" s="12"/>
      <c r="I3946" s="12"/>
      <c r="J3946" s="12"/>
      <c r="K3946" s="12"/>
      <c r="L3946" s="12"/>
      <c r="M3946" s="11"/>
      <c r="N3946" s="11"/>
      <c r="O3946" s="11"/>
      <c r="P3946" s="11"/>
    </row>
    <row r="3947" spans="8:16" x14ac:dyDescent="0.25">
      <c r="H3947" s="12"/>
      <c r="I3947" s="12"/>
      <c r="J3947" s="12"/>
      <c r="K3947" s="12"/>
      <c r="L3947" s="12"/>
      <c r="M3947" s="11"/>
      <c r="N3947" s="11"/>
      <c r="O3947" s="11"/>
      <c r="P3947" s="11"/>
    </row>
    <row r="3948" spans="8:16" x14ac:dyDescent="0.25">
      <c r="H3948" s="12"/>
      <c r="I3948" s="12"/>
      <c r="J3948" s="12"/>
      <c r="K3948" s="12"/>
      <c r="L3948" s="12"/>
      <c r="M3948" s="11"/>
      <c r="N3948" s="11"/>
      <c r="O3948" s="11"/>
      <c r="P3948" s="11"/>
    </row>
    <row r="3949" spans="8:16" x14ac:dyDescent="0.25">
      <c r="H3949" s="12"/>
      <c r="I3949" s="12"/>
      <c r="J3949" s="12"/>
      <c r="K3949" s="12"/>
      <c r="L3949" s="12"/>
      <c r="M3949" s="11"/>
      <c r="N3949" s="11"/>
      <c r="O3949" s="11"/>
      <c r="P3949" s="11"/>
    </row>
    <row r="3950" spans="8:16" x14ac:dyDescent="0.25">
      <c r="H3950" s="12"/>
      <c r="I3950" s="12"/>
      <c r="J3950" s="12"/>
      <c r="K3950" s="12"/>
      <c r="L3950" s="12"/>
      <c r="M3950" s="11"/>
      <c r="N3950" s="11"/>
      <c r="O3950" s="11"/>
      <c r="P3950" s="11"/>
    </row>
    <row r="3951" spans="8:16" x14ac:dyDescent="0.25">
      <c r="H3951" s="12"/>
      <c r="I3951" s="12"/>
      <c r="J3951" s="12"/>
      <c r="K3951" s="12"/>
      <c r="L3951" s="12"/>
      <c r="M3951" s="11"/>
      <c r="N3951" s="11"/>
      <c r="O3951" s="11"/>
      <c r="P3951" s="11"/>
    </row>
    <row r="3952" spans="8:16" x14ac:dyDescent="0.25">
      <c r="H3952" s="12"/>
      <c r="I3952" s="12"/>
      <c r="J3952" s="12"/>
      <c r="K3952" s="12"/>
      <c r="L3952" s="12"/>
      <c r="M3952" s="11"/>
      <c r="N3952" s="11"/>
      <c r="O3952" s="11"/>
      <c r="P3952" s="11"/>
    </row>
    <row r="3953" spans="8:16" x14ac:dyDescent="0.25">
      <c r="H3953" s="12"/>
      <c r="I3953" s="12"/>
      <c r="J3953" s="12"/>
      <c r="K3953" s="12"/>
      <c r="L3953" s="12"/>
      <c r="M3953" s="11"/>
      <c r="N3953" s="11"/>
      <c r="O3953" s="11"/>
      <c r="P3953" s="11"/>
    </row>
    <row r="3954" spans="8:16" x14ac:dyDescent="0.25">
      <c r="H3954" s="12"/>
      <c r="I3954" s="12"/>
      <c r="J3954" s="12"/>
      <c r="K3954" s="12"/>
      <c r="L3954" s="12"/>
      <c r="M3954" s="11"/>
      <c r="N3954" s="11"/>
      <c r="O3954" s="11"/>
      <c r="P3954" s="11"/>
    </row>
    <row r="3955" spans="8:16" x14ac:dyDescent="0.25">
      <c r="H3955" s="12"/>
      <c r="I3955" s="12"/>
      <c r="J3955" s="12"/>
      <c r="K3955" s="12"/>
      <c r="L3955" s="12"/>
      <c r="M3955" s="11"/>
      <c r="N3955" s="11"/>
      <c r="O3955" s="11"/>
      <c r="P3955" s="11"/>
    </row>
    <row r="3956" spans="8:16" x14ac:dyDescent="0.25">
      <c r="H3956" s="12"/>
      <c r="I3956" s="12"/>
      <c r="J3956" s="12"/>
      <c r="K3956" s="12"/>
      <c r="L3956" s="12"/>
      <c r="M3956" s="11"/>
      <c r="N3956" s="11"/>
      <c r="O3956" s="11"/>
      <c r="P3956" s="11"/>
    </row>
    <row r="3957" spans="8:16" x14ac:dyDescent="0.25">
      <c r="H3957" s="12"/>
      <c r="I3957" s="12"/>
      <c r="J3957" s="12"/>
      <c r="K3957" s="12"/>
      <c r="L3957" s="12"/>
      <c r="M3957" s="11"/>
      <c r="N3957" s="11"/>
      <c r="O3957" s="11"/>
      <c r="P3957" s="11"/>
    </row>
    <row r="3958" spans="8:16" x14ac:dyDescent="0.25">
      <c r="H3958" s="12"/>
      <c r="I3958" s="12"/>
      <c r="J3958" s="12"/>
      <c r="K3958" s="12"/>
      <c r="L3958" s="12"/>
      <c r="M3958" s="11"/>
      <c r="N3958" s="11"/>
      <c r="O3958" s="11"/>
      <c r="P3958" s="11"/>
    </row>
    <row r="3959" spans="8:16" x14ac:dyDescent="0.25">
      <c r="H3959" s="12"/>
      <c r="I3959" s="12"/>
      <c r="J3959" s="12"/>
      <c r="K3959" s="12"/>
      <c r="L3959" s="12"/>
      <c r="M3959" s="11"/>
      <c r="N3959" s="11"/>
      <c r="O3959" s="11"/>
      <c r="P3959" s="11"/>
    </row>
    <row r="3960" spans="8:16" x14ac:dyDescent="0.25">
      <c r="H3960" s="12"/>
      <c r="I3960" s="12"/>
      <c r="J3960" s="12"/>
      <c r="K3960" s="12"/>
      <c r="L3960" s="12"/>
      <c r="M3960" s="11"/>
      <c r="N3960" s="11"/>
      <c r="O3960" s="11"/>
      <c r="P3960" s="11"/>
    </row>
    <row r="3961" spans="8:16" x14ac:dyDescent="0.25">
      <c r="H3961" s="12"/>
      <c r="I3961" s="12"/>
      <c r="J3961" s="12"/>
      <c r="K3961" s="12"/>
      <c r="L3961" s="12"/>
      <c r="M3961" s="11"/>
      <c r="N3961" s="11"/>
      <c r="O3961" s="11"/>
      <c r="P3961" s="11"/>
    </row>
    <row r="3962" spans="8:16" x14ac:dyDescent="0.25">
      <c r="H3962" s="12"/>
      <c r="I3962" s="12"/>
      <c r="J3962" s="12"/>
      <c r="K3962" s="12"/>
      <c r="L3962" s="12"/>
      <c r="M3962" s="11"/>
      <c r="N3962" s="11"/>
      <c r="O3962" s="11"/>
      <c r="P3962" s="11"/>
    </row>
    <row r="3963" spans="8:16" x14ac:dyDescent="0.25">
      <c r="H3963" s="12"/>
      <c r="I3963" s="12"/>
      <c r="J3963" s="12"/>
      <c r="K3963" s="12"/>
      <c r="L3963" s="12"/>
      <c r="M3963" s="11"/>
      <c r="N3963" s="11"/>
      <c r="O3963" s="11"/>
      <c r="P3963" s="11"/>
    </row>
    <row r="3964" spans="8:16" x14ac:dyDescent="0.25">
      <c r="H3964" s="12"/>
      <c r="I3964" s="12"/>
      <c r="J3964" s="12"/>
      <c r="K3964" s="12"/>
      <c r="L3964" s="12"/>
      <c r="M3964" s="11"/>
      <c r="N3964" s="11"/>
      <c r="O3964" s="11"/>
      <c r="P3964" s="11"/>
    </row>
    <row r="3965" spans="8:16" x14ac:dyDescent="0.25">
      <c r="H3965" s="12"/>
      <c r="I3965" s="12"/>
      <c r="J3965" s="12"/>
      <c r="K3965" s="12"/>
      <c r="L3965" s="12"/>
      <c r="M3965" s="11"/>
      <c r="N3965" s="11"/>
      <c r="O3965" s="11"/>
      <c r="P3965" s="11"/>
    </row>
    <row r="3966" spans="8:16" x14ac:dyDescent="0.25">
      <c r="H3966" s="12"/>
      <c r="I3966" s="12"/>
      <c r="J3966" s="12"/>
      <c r="K3966" s="12"/>
      <c r="L3966" s="12"/>
      <c r="M3966" s="11"/>
      <c r="N3966" s="11"/>
      <c r="O3966" s="11"/>
      <c r="P3966" s="11"/>
    </row>
    <row r="3967" spans="8:16" x14ac:dyDescent="0.25">
      <c r="H3967" s="12"/>
      <c r="I3967" s="12"/>
      <c r="J3967" s="12"/>
      <c r="K3967" s="12"/>
      <c r="L3967" s="12"/>
      <c r="M3967" s="11"/>
      <c r="N3967" s="11"/>
      <c r="O3967" s="11"/>
      <c r="P3967" s="11"/>
    </row>
    <row r="3968" spans="8:16" x14ac:dyDescent="0.25">
      <c r="H3968" s="12"/>
      <c r="I3968" s="12"/>
      <c r="J3968" s="12"/>
      <c r="K3968" s="12"/>
      <c r="L3968" s="12"/>
      <c r="M3968" s="11"/>
      <c r="N3968" s="11"/>
      <c r="O3968" s="11"/>
      <c r="P3968" s="11"/>
    </row>
    <row r="3969" spans="8:16" x14ac:dyDescent="0.25">
      <c r="H3969" s="12"/>
      <c r="I3969" s="12"/>
      <c r="J3969" s="12"/>
      <c r="K3969" s="12"/>
      <c r="L3969" s="12"/>
      <c r="M3969" s="11"/>
      <c r="N3969" s="11"/>
      <c r="O3969" s="11"/>
      <c r="P3969" s="11"/>
    </row>
    <row r="3970" spans="8:16" x14ac:dyDescent="0.25">
      <c r="H3970" s="12"/>
      <c r="I3970" s="12"/>
      <c r="J3970" s="12"/>
      <c r="K3970" s="12"/>
      <c r="L3970" s="12"/>
      <c r="M3970" s="11"/>
      <c r="N3970" s="11"/>
      <c r="O3970" s="11"/>
      <c r="P3970" s="11"/>
    </row>
    <row r="3971" spans="8:16" x14ac:dyDescent="0.25">
      <c r="H3971" s="12"/>
      <c r="I3971" s="12"/>
      <c r="J3971" s="12"/>
      <c r="K3971" s="12"/>
      <c r="L3971" s="12"/>
      <c r="M3971" s="11"/>
      <c r="N3971" s="11"/>
      <c r="O3971" s="11"/>
      <c r="P3971" s="11"/>
    </row>
    <row r="3972" spans="8:16" x14ac:dyDescent="0.25">
      <c r="H3972" s="12"/>
      <c r="I3972" s="12"/>
      <c r="J3972" s="12"/>
      <c r="K3972" s="12"/>
      <c r="L3972" s="12"/>
      <c r="M3972" s="11"/>
      <c r="N3972" s="11"/>
      <c r="O3972" s="11"/>
      <c r="P3972" s="11"/>
    </row>
    <row r="3973" spans="8:16" x14ac:dyDescent="0.25">
      <c r="H3973" s="12"/>
      <c r="I3973" s="12"/>
      <c r="J3973" s="12"/>
      <c r="K3973" s="12"/>
      <c r="L3973" s="12"/>
      <c r="M3973" s="11"/>
      <c r="N3973" s="11"/>
      <c r="O3973" s="11"/>
      <c r="P3973" s="11"/>
    </row>
    <row r="3974" spans="8:16" x14ac:dyDescent="0.25">
      <c r="H3974" s="12"/>
      <c r="I3974" s="12"/>
      <c r="J3974" s="12"/>
      <c r="K3974" s="12"/>
      <c r="L3974" s="12"/>
      <c r="M3974" s="11"/>
      <c r="N3974" s="11"/>
      <c r="O3974" s="11"/>
      <c r="P3974" s="11"/>
    </row>
    <row r="3975" spans="8:16" x14ac:dyDescent="0.25">
      <c r="H3975" s="12"/>
      <c r="I3975" s="12"/>
      <c r="J3975" s="12"/>
      <c r="K3975" s="12"/>
      <c r="L3975" s="12"/>
      <c r="M3975" s="11"/>
      <c r="N3975" s="11"/>
      <c r="O3975" s="11"/>
      <c r="P3975" s="11"/>
    </row>
    <row r="3976" spans="8:16" x14ac:dyDescent="0.25">
      <c r="H3976" s="12"/>
      <c r="I3976" s="12"/>
      <c r="J3976" s="12"/>
      <c r="K3976" s="12"/>
      <c r="L3976" s="12"/>
      <c r="M3976" s="11"/>
      <c r="N3976" s="11"/>
      <c r="O3976" s="11"/>
      <c r="P3976" s="11"/>
    </row>
    <row r="3977" spans="8:16" x14ac:dyDescent="0.25">
      <c r="H3977" s="12"/>
      <c r="I3977" s="12"/>
      <c r="J3977" s="12"/>
      <c r="K3977" s="12"/>
      <c r="L3977" s="12"/>
      <c r="M3977" s="11"/>
      <c r="N3977" s="11"/>
      <c r="O3977" s="11"/>
      <c r="P3977" s="11"/>
    </row>
    <row r="3978" spans="8:16" x14ac:dyDescent="0.25">
      <c r="H3978" s="12"/>
      <c r="I3978" s="12"/>
      <c r="J3978" s="12"/>
      <c r="K3978" s="12"/>
      <c r="L3978" s="12"/>
      <c r="M3978" s="11"/>
      <c r="N3978" s="11"/>
      <c r="O3978" s="11"/>
      <c r="P3978" s="11"/>
    </row>
    <row r="3979" spans="8:16" x14ac:dyDescent="0.25">
      <c r="H3979" s="12"/>
      <c r="I3979" s="12"/>
      <c r="J3979" s="12"/>
      <c r="K3979" s="12"/>
      <c r="L3979" s="12"/>
      <c r="M3979" s="11"/>
      <c r="N3979" s="11"/>
      <c r="O3979" s="11"/>
      <c r="P3979" s="11"/>
    </row>
    <row r="3980" spans="8:16" x14ac:dyDescent="0.25">
      <c r="H3980" s="12"/>
      <c r="I3980" s="12"/>
      <c r="J3980" s="12"/>
      <c r="K3980" s="12"/>
      <c r="L3980" s="12"/>
      <c r="M3980" s="11"/>
      <c r="N3980" s="11"/>
      <c r="O3980" s="11"/>
      <c r="P3980" s="11"/>
    </row>
    <row r="3981" spans="8:16" x14ac:dyDescent="0.25">
      <c r="H3981" s="12"/>
      <c r="I3981" s="12"/>
      <c r="J3981" s="12"/>
      <c r="K3981" s="12"/>
      <c r="L3981" s="12"/>
      <c r="M3981" s="11"/>
      <c r="N3981" s="11"/>
      <c r="O3981" s="11"/>
      <c r="P3981" s="11"/>
    </row>
    <row r="3982" spans="8:16" x14ac:dyDescent="0.25">
      <c r="H3982" s="12"/>
      <c r="I3982" s="12"/>
      <c r="J3982" s="12"/>
      <c r="K3982" s="12"/>
      <c r="L3982" s="12"/>
      <c r="M3982" s="11"/>
      <c r="N3982" s="11"/>
      <c r="O3982" s="11"/>
      <c r="P3982" s="11"/>
    </row>
    <row r="3983" spans="8:16" x14ac:dyDescent="0.25">
      <c r="H3983" s="12"/>
      <c r="I3983" s="12"/>
      <c r="J3983" s="12"/>
      <c r="K3983" s="12"/>
      <c r="L3983" s="12"/>
      <c r="M3983" s="11"/>
      <c r="N3983" s="11"/>
      <c r="O3983" s="11"/>
      <c r="P3983" s="11"/>
    </row>
    <row r="3984" spans="8:16" x14ac:dyDescent="0.25">
      <c r="H3984" s="12"/>
      <c r="I3984" s="12"/>
      <c r="J3984" s="12"/>
      <c r="K3984" s="12"/>
      <c r="L3984" s="12"/>
      <c r="M3984" s="11"/>
      <c r="N3984" s="11"/>
      <c r="O3984" s="11"/>
      <c r="P3984" s="11"/>
    </row>
    <row r="3985" spans="8:16" x14ac:dyDescent="0.25">
      <c r="H3985" s="12"/>
      <c r="I3985" s="12"/>
      <c r="J3985" s="12"/>
      <c r="K3985" s="12"/>
      <c r="L3985" s="12"/>
      <c r="M3985" s="11"/>
      <c r="N3985" s="11"/>
      <c r="O3985" s="11"/>
      <c r="P3985" s="11"/>
    </row>
    <row r="3986" spans="8:16" x14ac:dyDescent="0.25">
      <c r="H3986" s="12"/>
      <c r="I3986" s="12"/>
      <c r="J3986" s="12"/>
      <c r="K3986" s="12"/>
      <c r="L3986" s="12"/>
      <c r="M3986" s="11"/>
      <c r="N3986" s="11"/>
      <c r="O3986" s="11"/>
      <c r="P3986" s="11"/>
    </row>
    <row r="3987" spans="8:16" x14ac:dyDescent="0.25">
      <c r="H3987" s="12"/>
      <c r="I3987" s="12"/>
      <c r="J3987" s="12"/>
      <c r="K3987" s="12"/>
      <c r="L3987" s="12"/>
      <c r="M3987" s="11"/>
      <c r="N3987" s="11"/>
      <c r="O3987" s="11"/>
      <c r="P3987" s="11"/>
    </row>
    <row r="3988" spans="8:16" x14ac:dyDescent="0.25">
      <c r="H3988" s="12"/>
      <c r="I3988" s="12"/>
      <c r="J3988" s="12"/>
      <c r="K3988" s="12"/>
      <c r="L3988" s="12"/>
      <c r="M3988" s="11"/>
      <c r="N3988" s="11"/>
      <c r="O3988" s="11"/>
      <c r="P3988" s="11"/>
    </row>
    <row r="3989" spans="8:16" x14ac:dyDescent="0.25">
      <c r="H3989" s="12"/>
      <c r="I3989" s="12"/>
      <c r="J3989" s="12"/>
      <c r="K3989" s="12"/>
      <c r="L3989" s="12"/>
      <c r="M3989" s="11"/>
      <c r="N3989" s="11"/>
      <c r="O3989" s="11"/>
      <c r="P3989" s="11"/>
    </row>
    <row r="3990" spans="8:16" x14ac:dyDescent="0.25">
      <c r="H3990" s="12"/>
      <c r="I3990" s="12"/>
      <c r="J3990" s="12"/>
      <c r="K3990" s="12"/>
      <c r="L3990" s="12"/>
      <c r="M3990" s="11"/>
      <c r="N3990" s="11"/>
      <c r="O3990" s="11"/>
      <c r="P3990" s="11"/>
    </row>
    <row r="3991" spans="8:16" x14ac:dyDescent="0.25">
      <c r="H3991" s="12"/>
      <c r="I3991" s="12"/>
      <c r="J3991" s="12"/>
      <c r="K3991" s="12"/>
      <c r="L3991" s="12"/>
      <c r="M3991" s="11"/>
      <c r="N3991" s="11"/>
      <c r="O3991" s="11"/>
      <c r="P3991" s="11"/>
    </row>
    <row r="3992" spans="8:16" x14ac:dyDescent="0.25">
      <c r="H3992" s="12"/>
      <c r="I3992" s="12"/>
      <c r="J3992" s="12"/>
      <c r="K3992" s="12"/>
      <c r="L3992" s="12"/>
      <c r="M3992" s="11"/>
      <c r="N3992" s="11"/>
      <c r="O3992" s="11"/>
      <c r="P3992" s="11"/>
    </row>
    <row r="3993" spans="8:16" x14ac:dyDescent="0.25">
      <c r="H3993" s="12"/>
      <c r="I3993" s="12"/>
      <c r="J3993" s="12"/>
      <c r="K3993" s="12"/>
      <c r="L3993" s="12"/>
      <c r="M3993" s="11"/>
      <c r="N3993" s="11"/>
      <c r="O3993" s="11"/>
      <c r="P3993" s="11"/>
    </row>
    <row r="3994" spans="8:16" x14ac:dyDescent="0.25">
      <c r="H3994" s="12"/>
      <c r="I3994" s="12"/>
      <c r="J3994" s="12"/>
      <c r="K3994" s="12"/>
      <c r="L3994" s="12"/>
      <c r="M3994" s="11"/>
      <c r="N3994" s="11"/>
      <c r="O3994" s="11"/>
      <c r="P3994" s="11"/>
    </row>
    <row r="3995" spans="8:16" x14ac:dyDescent="0.25">
      <c r="H3995" s="12"/>
      <c r="I3995" s="12"/>
      <c r="J3995" s="12"/>
      <c r="K3995" s="12"/>
      <c r="L3995" s="12"/>
      <c r="M3995" s="11"/>
      <c r="N3995" s="11"/>
      <c r="O3995" s="11"/>
      <c r="P3995" s="11"/>
    </row>
    <row r="3996" spans="8:16" x14ac:dyDescent="0.25">
      <c r="H3996" s="12"/>
      <c r="I3996" s="12"/>
      <c r="J3996" s="12"/>
      <c r="K3996" s="12"/>
      <c r="L3996" s="12"/>
      <c r="M3996" s="11"/>
      <c r="N3996" s="11"/>
      <c r="O3996" s="11"/>
      <c r="P3996" s="11"/>
    </row>
    <row r="3997" spans="8:16" x14ac:dyDescent="0.25">
      <c r="H3997" s="12"/>
      <c r="I3997" s="12"/>
      <c r="J3997" s="12"/>
      <c r="K3997" s="12"/>
      <c r="L3997" s="12"/>
      <c r="M3997" s="11"/>
      <c r="N3997" s="11"/>
      <c r="O3997" s="11"/>
      <c r="P3997" s="11"/>
    </row>
    <row r="3998" spans="8:16" x14ac:dyDescent="0.25">
      <c r="H3998" s="12"/>
      <c r="I3998" s="12"/>
      <c r="J3998" s="12"/>
      <c r="K3998" s="12"/>
      <c r="L3998" s="12"/>
      <c r="M3998" s="11"/>
      <c r="N3998" s="11"/>
      <c r="O3998" s="11"/>
      <c r="P3998" s="11"/>
    </row>
    <row r="3999" spans="8:16" x14ac:dyDescent="0.25">
      <c r="H3999" s="12"/>
      <c r="I3999" s="12"/>
      <c r="J3999" s="12"/>
      <c r="K3999" s="12"/>
      <c r="L3999" s="12"/>
      <c r="M3999" s="11"/>
      <c r="N3999" s="11"/>
      <c r="O3999" s="11"/>
      <c r="P3999" s="11"/>
    </row>
    <row r="4000" spans="8:16" x14ac:dyDescent="0.25">
      <c r="H4000" s="12"/>
      <c r="I4000" s="12"/>
      <c r="J4000" s="12"/>
      <c r="K4000" s="12"/>
      <c r="L4000" s="12"/>
      <c r="M4000" s="11"/>
      <c r="N4000" s="11"/>
      <c r="O4000" s="11"/>
      <c r="P4000" s="11"/>
    </row>
    <row r="4001" spans="8:16" x14ac:dyDescent="0.25">
      <c r="H4001" s="12"/>
      <c r="I4001" s="12"/>
      <c r="J4001" s="12"/>
      <c r="K4001" s="12"/>
      <c r="L4001" s="12"/>
      <c r="M4001" s="11"/>
      <c r="N4001" s="11"/>
      <c r="O4001" s="11"/>
      <c r="P4001" s="11"/>
    </row>
    <row r="4002" spans="8:16" x14ac:dyDescent="0.25">
      <c r="H4002" s="12"/>
      <c r="I4002" s="12"/>
      <c r="J4002" s="12"/>
      <c r="K4002" s="12"/>
      <c r="L4002" s="12"/>
      <c r="M4002" s="11"/>
      <c r="N4002" s="11"/>
      <c r="O4002" s="11"/>
      <c r="P4002" s="11"/>
    </row>
    <row r="4003" spans="8:16" x14ac:dyDescent="0.25">
      <c r="H4003" s="12"/>
      <c r="I4003" s="12"/>
      <c r="J4003" s="12"/>
      <c r="K4003" s="12"/>
      <c r="L4003" s="12"/>
      <c r="M4003" s="11"/>
      <c r="N4003" s="11"/>
      <c r="O4003" s="11"/>
      <c r="P4003" s="11"/>
    </row>
    <row r="4004" spans="8:16" x14ac:dyDescent="0.25">
      <c r="H4004" s="12"/>
      <c r="I4004" s="12"/>
      <c r="J4004" s="12"/>
      <c r="K4004" s="12"/>
      <c r="L4004" s="12"/>
      <c r="M4004" s="11"/>
      <c r="N4004" s="11"/>
      <c r="O4004" s="11"/>
      <c r="P4004" s="11"/>
    </row>
    <row r="4005" spans="8:16" x14ac:dyDescent="0.25">
      <c r="H4005" s="12"/>
      <c r="I4005" s="12"/>
      <c r="J4005" s="12"/>
      <c r="K4005" s="12"/>
      <c r="L4005" s="12"/>
      <c r="M4005" s="11"/>
      <c r="N4005" s="11"/>
      <c r="O4005" s="11"/>
      <c r="P4005" s="11"/>
    </row>
    <row r="4006" spans="8:16" x14ac:dyDescent="0.25">
      <c r="H4006" s="12"/>
      <c r="I4006" s="12"/>
      <c r="J4006" s="12"/>
      <c r="K4006" s="12"/>
      <c r="L4006" s="12"/>
      <c r="M4006" s="11"/>
      <c r="N4006" s="11"/>
      <c r="O4006" s="11"/>
      <c r="P4006" s="11"/>
    </row>
    <row r="4007" spans="8:16" x14ac:dyDescent="0.25">
      <c r="H4007" s="12"/>
      <c r="I4007" s="12"/>
      <c r="J4007" s="12"/>
      <c r="K4007" s="12"/>
      <c r="L4007" s="12"/>
      <c r="M4007" s="11"/>
      <c r="N4007" s="11"/>
      <c r="O4007" s="11"/>
      <c r="P4007" s="11"/>
    </row>
    <row r="4008" spans="8:16" x14ac:dyDescent="0.25">
      <c r="H4008" s="12"/>
      <c r="I4008" s="12"/>
      <c r="J4008" s="12"/>
      <c r="K4008" s="12"/>
      <c r="L4008" s="12"/>
      <c r="M4008" s="11"/>
      <c r="N4008" s="11"/>
      <c r="O4008" s="11"/>
      <c r="P4008" s="11"/>
    </row>
    <row r="4009" spans="8:16" x14ac:dyDescent="0.25">
      <c r="H4009" s="12"/>
      <c r="I4009" s="12"/>
      <c r="J4009" s="12"/>
      <c r="K4009" s="12"/>
      <c r="L4009" s="12"/>
      <c r="M4009" s="11"/>
      <c r="N4009" s="11"/>
      <c r="O4009" s="11"/>
      <c r="P4009" s="11"/>
    </row>
    <row r="4010" spans="8:16" x14ac:dyDescent="0.25">
      <c r="H4010" s="12"/>
      <c r="I4010" s="12"/>
      <c r="J4010" s="12"/>
      <c r="K4010" s="12"/>
      <c r="L4010" s="12"/>
      <c r="M4010" s="11"/>
      <c r="N4010" s="11"/>
      <c r="O4010" s="11"/>
      <c r="P4010" s="11"/>
    </row>
    <row r="4011" spans="8:16" x14ac:dyDescent="0.25">
      <c r="H4011" s="12"/>
      <c r="I4011" s="12"/>
      <c r="J4011" s="12"/>
      <c r="K4011" s="12"/>
      <c r="L4011" s="12"/>
      <c r="M4011" s="11"/>
      <c r="N4011" s="11"/>
      <c r="O4011" s="11"/>
      <c r="P4011" s="11"/>
    </row>
    <row r="4012" spans="8:16" x14ac:dyDescent="0.25">
      <c r="H4012" s="12"/>
      <c r="I4012" s="12"/>
      <c r="J4012" s="12"/>
      <c r="K4012" s="12"/>
      <c r="L4012" s="12"/>
      <c r="M4012" s="11"/>
      <c r="N4012" s="11"/>
      <c r="O4012" s="11"/>
      <c r="P4012" s="11"/>
    </row>
    <row r="4013" spans="8:16" x14ac:dyDescent="0.25">
      <c r="H4013" s="12"/>
      <c r="I4013" s="12"/>
      <c r="J4013" s="12"/>
      <c r="K4013" s="12"/>
      <c r="L4013" s="12"/>
      <c r="M4013" s="11"/>
      <c r="N4013" s="11"/>
      <c r="O4013" s="11"/>
      <c r="P4013" s="11"/>
    </row>
    <row r="4014" spans="8:16" x14ac:dyDescent="0.25">
      <c r="H4014" s="12"/>
      <c r="I4014" s="12"/>
      <c r="J4014" s="12"/>
      <c r="K4014" s="12"/>
      <c r="L4014" s="12"/>
      <c r="M4014" s="11"/>
      <c r="N4014" s="11"/>
      <c r="O4014" s="11"/>
      <c r="P4014" s="11"/>
    </row>
    <row r="4015" spans="8:16" x14ac:dyDescent="0.25">
      <c r="H4015" s="12"/>
      <c r="I4015" s="12"/>
      <c r="J4015" s="12"/>
      <c r="K4015" s="12"/>
      <c r="L4015" s="12"/>
      <c r="M4015" s="11"/>
      <c r="N4015" s="11"/>
      <c r="O4015" s="11"/>
      <c r="P4015" s="11"/>
    </row>
    <row r="4016" spans="8:16" x14ac:dyDescent="0.25">
      <c r="H4016" s="12"/>
      <c r="I4016" s="12"/>
      <c r="J4016" s="12"/>
      <c r="K4016" s="12"/>
      <c r="L4016" s="12"/>
      <c r="M4016" s="11"/>
      <c r="N4016" s="11"/>
      <c r="O4016" s="11"/>
      <c r="P4016" s="11"/>
    </row>
    <row r="4017" spans="8:16" x14ac:dyDescent="0.25">
      <c r="H4017" s="12"/>
      <c r="I4017" s="12"/>
      <c r="J4017" s="12"/>
      <c r="K4017" s="12"/>
      <c r="L4017" s="12"/>
      <c r="M4017" s="11"/>
      <c r="N4017" s="11"/>
      <c r="O4017" s="11"/>
      <c r="P4017" s="11"/>
    </row>
    <row r="4018" spans="8:16" x14ac:dyDescent="0.25">
      <c r="H4018" s="12"/>
      <c r="I4018" s="12"/>
      <c r="J4018" s="12"/>
      <c r="K4018" s="12"/>
      <c r="L4018" s="12"/>
      <c r="M4018" s="11"/>
      <c r="N4018" s="11"/>
      <c r="O4018" s="11"/>
      <c r="P4018" s="11"/>
    </row>
    <row r="4019" spans="8:16" x14ac:dyDescent="0.25">
      <c r="H4019" s="12"/>
      <c r="I4019" s="12"/>
      <c r="J4019" s="12"/>
      <c r="K4019" s="12"/>
      <c r="L4019" s="12"/>
      <c r="M4019" s="11"/>
      <c r="N4019" s="11"/>
      <c r="O4019" s="11"/>
      <c r="P4019" s="11"/>
    </row>
    <row r="4020" spans="8:16" x14ac:dyDescent="0.25">
      <c r="H4020" s="12"/>
      <c r="I4020" s="12"/>
      <c r="J4020" s="12"/>
      <c r="K4020" s="12"/>
      <c r="L4020" s="12"/>
      <c r="M4020" s="11"/>
      <c r="N4020" s="11"/>
      <c r="O4020" s="11"/>
      <c r="P4020" s="11"/>
    </row>
    <row r="4021" spans="8:16" x14ac:dyDescent="0.25">
      <c r="H4021" s="12"/>
      <c r="I4021" s="12"/>
      <c r="J4021" s="12"/>
      <c r="K4021" s="12"/>
      <c r="L4021" s="12"/>
      <c r="M4021" s="11"/>
      <c r="N4021" s="11"/>
      <c r="O4021" s="11"/>
      <c r="P4021" s="11"/>
    </row>
    <row r="4022" spans="8:16" x14ac:dyDescent="0.25">
      <c r="H4022" s="12"/>
      <c r="I4022" s="12"/>
      <c r="J4022" s="12"/>
      <c r="K4022" s="12"/>
      <c r="L4022" s="12"/>
      <c r="M4022" s="11"/>
      <c r="N4022" s="11"/>
      <c r="O4022" s="11"/>
      <c r="P4022" s="11"/>
    </row>
    <row r="4023" spans="8:16" x14ac:dyDescent="0.25">
      <c r="H4023" s="12"/>
      <c r="I4023" s="12"/>
      <c r="J4023" s="12"/>
      <c r="K4023" s="12"/>
      <c r="L4023" s="12"/>
      <c r="M4023" s="11"/>
      <c r="N4023" s="11"/>
      <c r="O4023" s="11"/>
      <c r="P4023" s="11"/>
    </row>
    <row r="4024" spans="8:16" x14ac:dyDescent="0.25">
      <c r="H4024" s="12"/>
      <c r="I4024" s="12"/>
      <c r="J4024" s="12"/>
      <c r="K4024" s="12"/>
      <c r="L4024" s="12"/>
      <c r="M4024" s="11"/>
      <c r="N4024" s="11"/>
      <c r="O4024" s="11"/>
      <c r="P4024" s="11"/>
    </row>
    <row r="4025" spans="8:16" x14ac:dyDescent="0.25">
      <c r="H4025" s="12"/>
      <c r="I4025" s="12"/>
      <c r="J4025" s="12"/>
      <c r="K4025" s="12"/>
      <c r="L4025" s="12"/>
      <c r="M4025" s="11"/>
      <c r="N4025" s="11"/>
      <c r="O4025" s="11"/>
      <c r="P4025" s="11"/>
    </row>
    <row r="4026" spans="8:16" x14ac:dyDescent="0.25">
      <c r="H4026" s="12"/>
      <c r="I4026" s="12"/>
      <c r="J4026" s="12"/>
      <c r="K4026" s="12"/>
      <c r="L4026" s="12"/>
      <c r="M4026" s="11"/>
      <c r="N4026" s="11"/>
      <c r="O4026" s="11"/>
      <c r="P4026" s="11"/>
    </row>
    <row r="4027" spans="8:16" x14ac:dyDescent="0.25">
      <c r="H4027" s="12"/>
      <c r="I4027" s="12"/>
      <c r="J4027" s="12"/>
      <c r="K4027" s="12"/>
      <c r="L4027" s="12"/>
      <c r="M4027" s="11"/>
      <c r="N4027" s="11"/>
      <c r="O4027" s="11"/>
      <c r="P4027" s="11"/>
    </row>
    <row r="4028" spans="8:16" x14ac:dyDescent="0.25">
      <c r="H4028" s="12"/>
      <c r="I4028" s="12"/>
      <c r="J4028" s="12"/>
      <c r="K4028" s="12"/>
      <c r="L4028" s="12"/>
      <c r="M4028" s="11"/>
      <c r="N4028" s="11"/>
      <c r="O4028" s="11"/>
      <c r="P4028" s="11"/>
    </row>
    <row r="4029" spans="8:16" x14ac:dyDescent="0.25">
      <c r="H4029" s="12"/>
      <c r="I4029" s="12"/>
      <c r="J4029" s="12"/>
      <c r="K4029" s="12"/>
      <c r="L4029" s="12"/>
      <c r="M4029" s="11"/>
      <c r="N4029" s="11"/>
      <c r="O4029" s="11"/>
      <c r="P4029" s="11"/>
    </row>
    <row r="4030" spans="8:16" x14ac:dyDescent="0.25">
      <c r="H4030" s="12"/>
      <c r="I4030" s="12"/>
      <c r="J4030" s="12"/>
      <c r="K4030" s="12"/>
      <c r="L4030" s="12"/>
      <c r="M4030" s="11"/>
      <c r="N4030" s="11"/>
      <c r="O4030" s="11"/>
      <c r="P4030" s="11"/>
    </row>
    <row r="4031" spans="8:16" x14ac:dyDescent="0.25">
      <c r="H4031" s="12"/>
      <c r="I4031" s="12"/>
      <c r="J4031" s="12"/>
      <c r="K4031" s="12"/>
      <c r="L4031" s="12"/>
      <c r="M4031" s="11"/>
      <c r="N4031" s="11"/>
      <c r="O4031" s="11"/>
      <c r="P4031" s="11"/>
    </row>
    <row r="4032" spans="8:16" x14ac:dyDescent="0.25">
      <c r="H4032" s="12"/>
      <c r="I4032" s="12"/>
      <c r="J4032" s="12"/>
      <c r="K4032" s="12"/>
      <c r="L4032" s="12"/>
      <c r="M4032" s="11"/>
      <c r="N4032" s="11"/>
      <c r="O4032" s="11"/>
      <c r="P4032" s="11"/>
    </row>
    <row r="4033" spans="8:16" x14ac:dyDescent="0.25">
      <c r="H4033" s="12"/>
      <c r="I4033" s="12"/>
      <c r="J4033" s="12"/>
      <c r="K4033" s="12"/>
      <c r="L4033" s="12"/>
      <c r="M4033" s="11"/>
      <c r="N4033" s="11"/>
      <c r="O4033" s="11"/>
      <c r="P4033" s="11"/>
    </row>
    <row r="4034" spans="8:16" x14ac:dyDescent="0.25">
      <c r="H4034" s="12"/>
      <c r="I4034" s="12"/>
      <c r="J4034" s="12"/>
      <c r="K4034" s="12"/>
      <c r="L4034" s="12"/>
      <c r="M4034" s="11"/>
      <c r="N4034" s="11"/>
      <c r="O4034" s="11"/>
      <c r="P4034" s="11"/>
    </row>
    <row r="4035" spans="8:16" x14ac:dyDescent="0.25">
      <c r="H4035" s="12"/>
      <c r="I4035" s="12"/>
      <c r="J4035" s="12"/>
      <c r="K4035" s="12"/>
      <c r="L4035" s="12"/>
      <c r="M4035" s="11"/>
      <c r="N4035" s="11"/>
      <c r="O4035" s="11"/>
      <c r="P4035" s="11"/>
    </row>
    <row r="4036" spans="8:16" x14ac:dyDescent="0.25">
      <c r="H4036" s="12"/>
      <c r="I4036" s="12"/>
      <c r="J4036" s="12"/>
      <c r="K4036" s="12"/>
      <c r="L4036" s="12"/>
      <c r="M4036" s="11"/>
      <c r="N4036" s="11"/>
      <c r="O4036" s="11"/>
      <c r="P4036" s="11"/>
    </row>
    <row r="4037" spans="8:16" x14ac:dyDescent="0.25">
      <c r="H4037" s="12"/>
      <c r="I4037" s="12"/>
      <c r="J4037" s="12"/>
      <c r="K4037" s="12"/>
      <c r="L4037" s="12"/>
      <c r="M4037" s="11"/>
      <c r="N4037" s="11"/>
      <c r="O4037" s="11"/>
      <c r="P4037" s="11"/>
    </row>
    <row r="4038" spans="8:16" x14ac:dyDescent="0.25">
      <c r="H4038" s="12"/>
      <c r="I4038" s="12"/>
      <c r="J4038" s="12"/>
      <c r="K4038" s="12"/>
      <c r="L4038" s="12"/>
      <c r="M4038" s="11"/>
      <c r="N4038" s="11"/>
      <c r="O4038" s="11"/>
      <c r="P4038" s="11"/>
    </row>
    <row r="4039" spans="8:16" x14ac:dyDescent="0.25">
      <c r="H4039" s="12"/>
      <c r="I4039" s="12"/>
      <c r="J4039" s="12"/>
      <c r="K4039" s="12"/>
      <c r="L4039" s="12"/>
      <c r="M4039" s="11"/>
      <c r="N4039" s="11"/>
      <c r="O4039" s="11"/>
      <c r="P4039" s="11"/>
    </row>
    <row r="4040" spans="8:16" x14ac:dyDescent="0.25">
      <c r="H4040" s="12"/>
      <c r="I4040" s="12"/>
      <c r="J4040" s="12"/>
      <c r="K4040" s="12"/>
      <c r="L4040" s="12"/>
      <c r="M4040" s="11"/>
      <c r="N4040" s="11"/>
      <c r="O4040" s="11"/>
      <c r="P4040" s="11"/>
    </row>
    <row r="4041" spans="8:16" x14ac:dyDescent="0.25">
      <c r="H4041" s="12"/>
      <c r="I4041" s="12"/>
      <c r="J4041" s="12"/>
      <c r="K4041" s="12"/>
      <c r="L4041" s="12"/>
      <c r="M4041" s="11"/>
      <c r="N4041" s="11"/>
      <c r="O4041" s="11"/>
      <c r="P4041" s="11"/>
    </row>
    <row r="4042" spans="8:16" x14ac:dyDescent="0.25">
      <c r="H4042" s="12"/>
      <c r="I4042" s="12"/>
      <c r="J4042" s="12"/>
      <c r="K4042" s="12"/>
      <c r="L4042" s="12"/>
      <c r="M4042" s="11"/>
      <c r="N4042" s="11"/>
      <c r="O4042" s="11"/>
      <c r="P4042" s="11"/>
    </row>
    <row r="4043" spans="8:16" x14ac:dyDescent="0.25">
      <c r="H4043" s="12"/>
      <c r="I4043" s="12"/>
      <c r="J4043" s="12"/>
      <c r="K4043" s="12"/>
      <c r="L4043" s="12"/>
      <c r="M4043" s="11"/>
      <c r="N4043" s="11"/>
      <c r="O4043" s="11"/>
      <c r="P4043" s="11"/>
    </row>
    <row r="4044" spans="8:16" x14ac:dyDescent="0.25">
      <c r="H4044" s="12"/>
      <c r="I4044" s="12"/>
      <c r="J4044" s="12"/>
      <c r="K4044" s="12"/>
      <c r="L4044" s="12"/>
      <c r="M4044" s="11"/>
      <c r="N4044" s="11"/>
      <c r="O4044" s="11"/>
      <c r="P4044" s="11"/>
    </row>
    <row r="4045" spans="8:16" x14ac:dyDescent="0.25">
      <c r="H4045" s="12"/>
      <c r="I4045" s="12"/>
      <c r="J4045" s="12"/>
      <c r="K4045" s="12"/>
      <c r="L4045" s="12"/>
      <c r="M4045" s="11"/>
      <c r="N4045" s="11"/>
      <c r="O4045" s="11"/>
      <c r="P4045" s="11"/>
    </row>
    <row r="4046" spans="8:16" x14ac:dyDescent="0.25">
      <c r="H4046" s="12"/>
      <c r="I4046" s="12"/>
      <c r="J4046" s="12"/>
      <c r="K4046" s="12"/>
      <c r="L4046" s="12"/>
      <c r="M4046" s="11"/>
      <c r="N4046" s="11"/>
      <c r="O4046" s="11"/>
      <c r="P4046" s="11"/>
    </row>
    <row r="4047" spans="8:16" x14ac:dyDescent="0.25">
      <c r="H4047" s="12"/>
      <c r="I4047" s="12"/>
      <c r="J4047" s="12"/>
      <c r="K4047" s="12"/>
      <c r="L4047" s="12"/>
      <c r="M4047" s="11"/>
      <c r="N4047" s="11"/>
      <c r="O4047" s="11"/>
      <c r="P4047" s="11"/>
    </row>
    <row r="4048" spans="8:16" x14ac:dyDescent="0.25">
      <c r="H4048" s="12"/>
      <c r="I4048" s="12"/>
      <c r="J4048" s="12"/>
      <c r="K4048" s="12"/>
      <c r="L4048" s="12"/>
      <c r="M4048" s="11"/>
      <c r="N4048" s="11"/>
      <c r="O4048" s="11"/>
      <c r="P4048" s="11"/>
    </row>
    <row r="4049" spans="8:16" x14ac:dyDescent="0.25">
      <c r="H4049" s="12"/>
      <c r="I4049" s="12"/>
      <c r="J4049" s="12"/>
      <c r="K4049" s="12"/>
      <c r="L4049" s="12"/>
      <c r="M4049" s="11"/>
      <c r="N4049" s="11"/>
      <c r="O4049" s="11"/>
      <c r="P4049" s="11"/>
    </row>
    <row r="4050" spans="8:16" x14ac:dyDescent="0.25">
      <c r="H4050" s="12"/>
      <c r="I4050" s="12"/>
      <c r="J4050" s="12"/>
      <c r="K4050" s="12"/>
      <c r="L4050" s="12"/>
      <c r="M4050" s="11"/>
      <c r="N4050" s="11"/>
      <c r="O4050" s="11"/>
      <c r="P4050" s="11"/>
    </row>
    <row r="4051" spans="8:16" x14ac:dyDescent="0.25">
      <c r="H4051" s="12"/>
      <c r="I4051" s="12"/>
      <c r="J4051" s="12"/>
      <c r="K4051" s="12"/>
      <c r="L4051" s="12"/>
      <c r="M4051" s="11"/>
      <c r="N4051" s="11"/>
      <c r="O4051" s="11"/>
      <c r="P4051" s="11"/>
    </row>
    <row r="4052" spans="8:16" x14ac:dyDescent="0.25">
      <c r="H4052" s="12"/>
      <c r="I4052" s="12"/>
      <c r="J4052" s="12"/>
      <c r="K4052" s="12"/>
      <c r="L4052" s="12"/>
      <c r="M4052" s="11"/>
      <c r="N4052" s="11"/>
      <c r="O4052" s="11"/>
      <c r="P4052" s="11"/>
    </row>
    <row r="4053" spans="8:16" x14ac:dyDescent="0.25">
      <c r="H4053" s="12"/>
      <c r="I4053" s="12"/>
      <c r="J4053" s="12"/>
      <c r="K4053" s="12"/>
      <c r="L4053" s="12"/>
      <c r="M4053" s="11"/>
      <c r="N4053" s="11"/>
      <c r="O4053" s="11"/>
      <c r="P4053" s="11"/>
    </row>
    <row r="4054" spans="8:16" x14ac:dyDescent="0.25">
      <c r="H4054" s="12"/>
      <c r="I4054" s="12"/>
      <c r="J4054" s="12"/>
      <c r="K4054" s="12"/>
      <c r="L4054" s="12"/>
      <c r="M4054" s="11"/>
      <c r="N4054" s="11"/>
      <c r="O4054" s="11"/>
      <c r="P4054" s="11"/>
    </row>
    <row r="4055" spans="8:16" x14ac:dyDescent="0.25">
      <c r="H4055" s="12"/>
      <c r="I4055" s="12"/>
      <c r="J4055" s="12"/>
      <c r="K4055" s="12"/>
      <c r="L4055" s="12"/>
      <c r="M4055" s="11"/>
      <c r="N4055" s="11"/>
      <c r="O4055" s="11"/>
      <c r="P4055" s="11"/>
    </row>
    <row r="4056" spans="8:16" x14ac:dyDescent="0.25">
      <c r="H4056" s="12"/>
      <c r="I4056" s="12"/>
      <c r="J4056" s="12"/>
      <c r="K4056" s="12"/>
      <c r="L4056" s="12"/>
      <c r="M4056" s="11"/>
      <c r="N4056" s="11"/>
      <c r="O4056" s="11"/>
      <c r="P4056" s="11"/>
    </row>
    <row r="4057" spans="8:16" x14ac:dyDescent="0.25">
      <c r="H4057" s="12"/>
      <c r="I4057" s="12"/>
      <c r="J4057" s="12"/>
      <c r="K4057" s="12"/>
      <c r="L4057" s="12"/>
      <c r="M4057" s="11"/>
      <c r="N4057" s="11"/>
      <c r="O4057" s="11"/>
      <c r="P4057" s="11"/>
    </row>
    <row r="4058" spans="8:16" x14ac:dyDescent="0.25">
      <c r="H4058" s="12"/>
      <c r="I4058" s="12"/>
      <c r="J4058" s="12"/>
      <c r="K4058" s="12"/>
      <c r="L4058" s="12"/>
      <c r="M4058" s="11"/>
      <c r="N4058" s="11"/>
      <c r="O4058" s="11"/>
      <c r="P4058" s="11"/>
    </row>
    <row r="4059" spans="8:16" x14ac:dyDescent="0.25">
      <c r="H4059" s="12"/>
      <c r="I4059" s="12"/>
      <c r="J4059" s="12"/>
      <c r="K4059" s="12"/>
      <c r="L4059" s="12"/>
      <c r="M4059" s="11"/>
      <c r="N4059" s="11"/>
      <c r="O4059" s="11"/>
      <c r="P4059" s="11"/>
    </row>
    <row r="4060" spans="8:16" x14ac:dyDescent="0.25">
      <c r="H4060" s="12"/>
      <c r="I4060" s="12"/>
      <c r="J4060" s="12"/>
      <c r="K4060" s="12"/>
      <c r="L4060" s="12"/>
      <c r="M4060" s="11"/>
      <c r="N4060" s="11"/>
      <c r="O4060" s="11"/>
      <c r="P4060" s="11"/>
    </row>
    <row r="4061" spans="8:16" x14ac:dyDescent="0.25">
      <c r="H4061" s="12"/>
      <c r="I4061" s="12"/>
      <c r="J4061" s="12"/>
      <c r="K4061" s="12"/>
      <c r="L4061" s="12"/>
      <c r="M4061" s="11"/>
      <c r="N4061" s="11"/>
      <c r="O4061" s="11"/>
      <c r="P4061" s="11"/>
    </row>
    <row r="4062" spans="8:16" x14ac:dyDescent="0.25">
      <c r="H4062" s="12"/>
      <c r="I4062" s="12"/>
      <c r="J4062" s="12"/>
      <c r="K4062" s="12"/>
      <c r="L4062" s="12"/>
      <c r="M4062" s="11"/>
      <c r="N4062" s="11"/>
      <c r="O4062" s="11"/>
      <c r="P4062" s="11"/>
    </row>
    <row r="4063" spans="8:16" x14ac:dyDescent="0.25">
      <c r="H4063" s="12"/>
      <c r="I4063" s="12"/>
      <c r="J4063" s="12"/>
      <c r="K4063" s="12"/>
      <c r="L4063" s="12"/>
      <c r="M4063" s="11"/>
      <c r="N4063" s="11"/>
      <c r="O4063" s="11"/>
      <c r="P4063" s="11"/>
    </row>
    <row r="4064" spans="8:16" x14ac:dyDescent="0.25">
      <c r="H4064" s="12"/>
      <c r="I4064" s="12"/>
      <c r="J4064" s="12"/>
      <c r="K4064" s="12"/>
      <c r="L4064" s="12"/>
      <c r="M4064" s="11"/>
      <c r="N4064" s="11"/>
      <c r="O4064" s="11"/>
      <c r="P4064" s="11"/>
    </row>
    <row r="4065" spans="8:16" x14ac:dyDescent="0.25">
      <c r="H4065" s="12"/>
      <c r="I4065" s="12"/>
      <c r="J4065" s="12"/>
      <c r="K4065" s="12"/>
      <c r="L4065" s="12"/>
      <c r="M4065" s="11"/>
      <c r="N4065" s="11"/>
      <c r="O4065" s="11"/>
      <c r="P4065" s="11"/>
    </row>
    <row r="4066" spans="8:16" x14ac:dyDescent="0.25">
      <c r="H4066" s="12"/>
      <c r="I4066" s="12"/>
      <c r="J4066" s="12"/>
      <c r="K4066" s="12"/>
      <c r="L4066" s="12"/>
      <c r="M4066" s="11"/>
      <c r="N4066" s="11"/>
      <c r="O4066" s="11"/>
      <c r="P4066" s="11"/>
    </row>
    <row r="4067" spans="8:16" x14ac:dyDescent="0.25">
      <c r="H4067" s="12"/>
      <c r="I4067" s="12"/>
      <c r="J4067" s="12"/>
      <c r="K4067" s="12"/>
      <c r="L4067" s="12"/>
      <c r="M4067" s="11"/>
      <c r="N4067" s="11"/>
      <c r="O4067" s="11"/>
      <c r="P4067" s="11"/>
    </row>
    <row r="4068" spans="8:16" x14ac:dyDescent="0.25">
      <c r="H4068" s="12"/>
      <c r="I4068" s="12"/>
      <c r="J4068" s="12"/>
      <c r="K4068" s="12"/>
      <c r="L4068" s="12"/>
      <c r="M4068" s="11"/>
      <c r="N4068" s="11"/>
      <c r="O4068" s="11"/>
      <c r="P4068" s="11"/>
    </row>
    <row r="4069" spans="8:16" x14ac:dyDescent="0.25">
      <c r="H4069" s="12"/>
      <c r="I4069" s="12"/>
      <c r="J4069" s="12"/>
      <c r="K4069" s="12"/>
      <c r="L4069" s="12"/>
      <c r="M4069" s="11"/>
      <c r="N4069" s="11"/>
      <c r="O4069" s="11"/>
      <c r="P4069" s="11"/>
    </row>
    <row r="4070" spans="8:16" x14ac:dyDescent="0.25">
      <c r="H4070" s="12"/>
      <c r="I4070" s="12"/>
      <c r="J4070" s="12"/>
      <c r="K4070" s="12"/>
      <c r="L4070" s="12"/>
      <c r="M4070" s="11"/>
      <c r="N4070" s="11"/>
      <c r="O4070" s="11"/>
      <c r="P4070" s="11"/>
    </row>
    <row r="4071" spans="8:16" x14ac:dyDescent="0.25">
      <c r="H4071" s="12"/>
      <c r="I4071" s="12"/>
      <c r="J4071" s="12"/>
      <c r="K4071" s="12"/>
      <c r="L4071" s="12"/>
      <c r="M4071" s="11"/>
      <c r="N4071" s="11"/>
      <c r="O4071" s="11"/>
      <c r="P4071" s="11"/>
    </row>
    <row r="4072" spans="8:16" x14ac:dyDescent="0.25">
      <c r="H4072" s="12"/>
      <c r="I4072" s="12"/>
      <c r="J4072" s="12"/>
      <c r="K4072" s="12"/>
      <c r="L4072" s="12"/>
      <c r="M4072" s="11"/>
      <c r="N4072" s="11"/>
      <c r="O4072" s="11"/>
      <c r="P4072" s="11"/>
    </row>
    <row r="4073" spans="8:16" x14ac:dyDescent="0.25">
      <c r="H4073" s="12"/>
      <c r="I4073" s="12"/>
      <c r="J4073" s="12"/>
      <c r="K4073" s="12"/>
      <c r="L4073" s="12"/>
      <c r="M4073" s="11"/>
      <c r="N4073" s="11"/>
      <c r="O4073" s="11"/>
      <c r="P4073" s="11"/>
    </row>
    <row r="4074" spans="8:16" x14ac:dyDescent="0.25">
      <c r="H4074" s="12"/>
      <c r="I4074" s="12"/>
      <c r="J4074" s="12"/>
      <c r="K4074" s="12"/>
      <c r="L4074" s="12"/>
      <c r="M4074" s="11"/>
      <c r="N4074" s="11"/>
      <c r="O4074" s="11"/>
      <c r="P4074" s="11"/>
    </row>
    <row r="4075" spans="8:16" x14ac:dyDescent="0.25">
      <c r="H4075" s="12"/>
      <c r="I4075" s="12"/>
      <c r="J4075" s="12"/>
      <c r="K4075" s="12"/>
      <c r="L4075" s="12"/>
      <c r="M4075" s="11"/>
      <c r="N4075" s="11"/>
      <c r="O4075" s="11"/>
      <c r="P4075" s="11"/>
    </row>
    <row r="4076" spans="8:16" x14ac:dyDescent="0.25">
      <c r="H4076" s="12"/>
      <c r="I4076" s="12"/>
      <c r="J4076" s="12"/>
      <c r="K4076" s="12"/>
      <c r="L4076" s="12"/>
      <c r="M4076" s="11"/>
      <c r="N4076" s="11"/>
      <c r="O4076" s="11"/>
      <c r="P4076" s="11"/>
    </row>
    <row r="4077" spans="8:16" x14ac:dyDescent="0.25">
      <c r="H4077" s="12"/>
      <c r="I4077" s="12"/>
      <c r="J4077" s="12"/>
      <c r="K4077" s="12"/>
      <c r="L4077" s="12"/>
      <c r="M4077" s="11"/>
      <c r="N4077" s="11"/>
      <c r="O4077" s="11"/>
      <c r="P4077" s="11"/>
    </row>
    <row r="4078" spans="8:16" x14ac:dyDescent="0.25">
      <c r="H4078" s="12"/>
      <c r="I4078" s="12"/>
      <c r="J4078" s="12"/>
      <c r="K4078" s="12"/>
      <c r="L4078" s="12"/>
      <c r="M4078" s="11"/>
      <c r="N4078" s="11"/>
      <c r="O4078" s="11"/>
      <c r="P4078" s="11"/>
    </row>
    <row r="4079" spans="8:16" x14ac:dyDescent="0.25">
      <c r="H4079" s="12"/>
      <c r="I4079" s="12"/>
      <c r="J4079" s="12"/>
      <c r="K4079" s="12"/>
      <c r="L4079" s="12"/>
      <c r="M4079" s="11"/>
      <c r="N4079" s="11"/>
      <c r="O4079" s="11"/>
      <c r="P4079" s="11"/>
    </row>
    <row r="4080" spans="8:16" x14ac:dyDescent="0.25">
      <c r="H4080" s="12"/>
      <c r="I4080" s="12"/>
      <c r="J4080" s="12"/>
      <c r="K4080" s="12"/>
      <c r="L4080" s="12"/>
      <c r="M4080" s="11"/>
      <c r="N4080" s="11"/>
      <c r="O4080" s="11"/>
      <c r="P4080" s="11"/>
    </row>
    <row r="4081" spans="8:16" x14ac:dyDescent="0.25">
      <c r="H4081" s="12"/>
      <c r="I4081" s="12"/>
      <c r="J4081" s="12"/>
      <c r="K4081" s="12"/>
      <c r="L4081" s="12"/>
      <c r="M4081" s="11"/>
      <c r="N4081" s="11"/>
      <c r="O4081" s="11"/>
      <c r="P4081" s="11"/>
    </row>
    <row r="4082" spans="8:16" x14ac:dyDescent="0.25">
      <c r="H4082" s="12"/>
      <c r="I4082" s="12"/>
      <c r="J4082" s="12"/>
      <c r="K4082" s="12"/>
      <c r="L4082" s="12"/>
      <c r="M4082" s="11"/>
      <c r="N4082" s="11"/>
      <c r="O4082" s="11"/>
      <c r="P4082" s="11"/>
    </row>
    <row r="4083" spans="8:16" x14ac:dyDescent="0.25">
      <c r="H4083" s="12"/>
      <c r="I4083" s="12"/>
      <c r="J4083" s="12"/>
      <c r="K4083" s="12"/>
      <c r="L4083" s="12"/>
      <c r="M4083" s="11"/>
      <c r="N4083" s="11"/>
      <c r="O4083" s="11"/>
      <c r="P4083" s="11"/>
    </row>
    <row r="4084" spans="8:16" x14ac:dyDescent="0.25">
      <c r="H4084" s="12"/>
      <c r="I4084" s="12"/>
      <c r="J4084" s="12"/>
      <c r="K4084" s="12"/>
      <c r="L4084" s="12"/>
      <c r="M4084" s="11"/>
      <c r="N4084" s="11"/>
      <c r="O4084" s="11"/>
      <c r="P4084" s="11"/>
    </row>
    <row r="4085" spans="8:16" x14ac:dyDescent="0.25">
      <c r="H4085" s="12"/>
      <c r="I4085" s="12"/>
      <c r="J4085" s="12"/>
      <c r="K4085" s="12"/>
      <c r="L4085" s="12"/>
      <c r="M4085" s="11"/>
      <c r="N4085" s="11"/>
      <c r="O4085" s="11"/>
      <c r="P4085" s="11"/>
    </row>
    <row r="4086" spans="8:16" x14ac:dyDescent="0.25">
      <c r="H4086" s="12"/>
      <c r="I4086" s="12"/>
      <c r="J4086" s="12"/>
      <c r="K4086" s="12"/>
      <c r="L4086" s="12"/>
      <c r="M4086" s="11"/>
      <c r="N4086" s="11"/>
      <c r="O4086" s="11"/>
      <c r="P4086" s="11"/>
    </row>
    <row r="4087" spans="8:16" x14ac:dyDescent="0.25">
      <c r="H4087" s="12"/>
      <c r="I4087" s="12"/>
      <c r="J4087" s="12"/>
      <c r="K4087" s="12"/>
      <c r="L4087" s="12"/>
      <c r="M4087" s="11"/>
      <c r="N4087" s="11"/>
      <c r="O4087" s="11"/>
      <c r="P4087" s="11"/>
    </row>
    <row r="4088" spans="8:16" x14ac:dyDescent="0.25">
      <c r="H4088" s="12"/>
      <c r="I4088" s="12"/>
      <c r="J4088" s="12"/>
      <c r="K4088" s="12"/>
      <c r="L4088" s="12"/>
      <c r="M4088" s="11"/>
      <c r="N4088" s="11"/>
      <c r="O4088" s="11"/>
      <c r="P4088" s="11"/>
    </row>
    <row r="4089" spans="8:16" x14ac:dyDescent="0.25">
      <c r="H4089" s="12"/>
      <c r="I4089" s="12"/>
      <c r="J4089" s="12"/>
      <c r="K4089" s="12"/>
      <c r="L4089" s="12"/>
      <c r="M4089" s="11"/>
      <c r="N4089" s="11"/>
      <c r="O4089" s="11"/>
      <c r="P4089" s="11"/>
    </row>
    <row r="4090" spans="8:16" x14ac:dyDescent="0.25">
      <c r="H4090" s="12"/>
      <c r="I4090" s="12"/>
      <c r="J4090" s="12"/>
      <c r="K4090" s="12"/>
      <c r="L4090" s="12"/>
      <c r="M4090" s="11"/>
      <c r="N4090" s="11"/>
      <c r="O4090" s="11"/>
      <c r="P4090" s="11"/>
    </row>
    <row r="4091" spans="8:16" x14ac:dyDescent="0.25">
      <c r="H4091" s="12"/>
      <c r="I4091" s="12"/>
      <c r="J4091" s="12"/>
      <c r="K4091" s="12"/>
      <c r="L4091" s="12"/>
      <c r="M4091" s="11"/>
      <c r="N4091" s="11"/>
      <c r="O4091" s="11"/>
      <c r="P4091" s="11"/>
    </row>
    <row r="4092" spans="8:16" x14ac:dyDescent="0.25">
      <c r="H4092" s="12"/>
      <c r="I4092" s="12"/>
      <c r="J4092" s="12"/>
      <c r="K4092" s="12"/>
      <c r="L4092" s="12"/>
      <c r="M4092" s="11"/>
      <c r="N4092" s="11"/>
      <c r="O4092" s="11"/>
      <c r="P4092" s="11"/>
    </row>
    <row r="4093" spans="8:16" x14ac:dyDescent="0.25">
      <c r="H4093" s="12"/>
      <c r="I4093" s="12"/>
      <c r="J4093" s="12"/>
      <c r="K4093" s="12"/>
      <c r="L4093" s="12"/>
      <c r="M4093" s="11"/>
      <c r="N4093" s="11"/>
      <c r="O4093" s="11"/>
      <c r="P4093" s="11"/>
    </row>
    <row r="4094" spans="8:16" x14ac:dyDescent="0.25">
      <c r="H4094" s="12"/>
      <c r="I4094" s="12"/>
      <c r="J4094" s="12"/>
      <c r="K4094" s="12"/>
      <c r="L4094" s="12"/>
      <c r="M4094" s="11"/>
      <c r="N4094" s="11"/>
      <c r="O4094" s="11"/>
      <c r="P4094" s="11"/>
    </row>
    <row r="4095" spans="8:16" x14ac:dyDescent="0.25">
      <c r="H4095" s="12"/>
      <c r="I4095" s="12"/>
      <c r="J4095" s="12"/>
      <c r="K4095" s="12"/>
      <c r="L4095" s="12"/>
      <c r="M4095" s="11"/>
      <c r="N4095" s="11"/>
      <c r="O4095" s="11"/>
      <c r="P4095" s="11"/>
    </row>
    <row r="4096" spans="8:16" x14ac:dyDescent="0.25">
      <c r="H4096" s="12"/>
      <c r="I4096" s="12"/>
      <c r="J4096" s="12"/>
      <c r="K4096" s="12"/>
      <c r="L4096" s="12"/>
      <c r="M4096" s="11"/>
      <c r="N4096" s="11"/>
      <c r="O4096" s="11"/>
      <c r="P4096" s="11"/>
    </row>
    <row r="4097" spans="8:16" x14ac:dyDescent="0.25">
      <c r="H4097" s="12"/>
      <c r="I4097" s="12"/>
      <c r="J4097" s="12"/>
      <c r="K4097" s="12"/>
      <c r="L4097" s="12"/>
      <c r="M4097" s="11"/>
      <c r="N4097" s="11"/>
      <c r="O4097" s="11"/>
      <c r="P4097" s="11"/>
    </row>
    <row r="4098" spans="8:16" x14ac:dyDescent="0.25">
      <c r="H4098" s="12"/>
      <c r="I4098" s="12"/>
      <c r="J4098" s="12"/>
      <c r="K4098" s="12"/>
      <c r="L4098" s="12"/>
      <c r="M4098" s="11"/>
      <c r="N4098" s="11"/>
      <c r="O4098" s="11"/>
      <c r="P4098" s="11"/>
    </row>
    <row r="4099" spans="8:16" x14ac:dyDescent="0.25">
      <c r="H4099" s="12"/>
      <c r="I4099" s="12"/>
      <c r="J4099" s="12"/>
      <c r="K4099" s="12"/>
      <c r="L4099" s="12"/>
      <c r="M4099" s="11"/>
      <c r="N4099" s="11"/>
      <c r="O4099" s="11"/>
      <c r="P4099" s="11"/>
    </row>
    <row r="4100" spans="8:16" x14ac:dyDescent="0.25">
      <c r="H4100" s="12"/>
      <c r="I4100" s="12"/>
      <c r="J4100" s="12"/>
      <c r="K4100" s="12"/>
      <c r="L4100" s="12"/>
      <c r="M4100" s="11"/>
      <c r="N4100" s="11"/>
      <c r="O4100" s="11"/>
      <c r="P4100" s="11"/>
    </row>
    <row r="4101" spans="8:16" x14ac:dyDescent="0.25">
      <c r="H4101" s="12"/>
      <c r="I4101" s="12"/>
      <c r="J4101" s="12"/>
      <c r="K4101" s="12"/>
      <c r="L4101" s="12"/>
      <c r="M4101" s="11"/>
      <c r="N4101" s="11"/>
      <c r="O4101" s="11"/>
      <c r="P4101" s="11"/>
    </row>
    <row r="4102" spans="8:16" x14ac:dyDescent="0.25">
      <c r="H4102" s="12"/>
      <c r="I4102" s="12"/>
      <c r="J4102" s="12"/>
      <c r="K4102" s="12"/>
      <c r="L4102" s="12"/>
      <c r="M4102" s="11"/>
      <c r="N4102" s="11"/>
      <c r="O4102" s="11"/>
      <c r="P4102" s="11"/>
    </row>
    <row r="4103" spans="8:16" x14ac:dyDescent="0.25">
      <c r="H4103" s="12"/>
      <c r="I4103" s="12"/>
      <c r="J4103" s="12"/>
      <c r="K4103" s="12"/>
      <c r="L4103" s="12"/>
      <c r="M4103" s="11"/>
      <c r="N4103" s="11"/>
      <c r="O4103" s="11"/>
      <c r="P4103" s="11"/>
    </row>
    <row r="4104" spans="8:16" x14ac:dyDescent="0.25">
      <c r="H4104" s="12"/>
      <c r="I4104" s="12"/>
      <c r="J4104" s="12"/>
      <c r="K4104" s="12"/>
      <c r="L4104" s="12"/>
      <c r="M4104" s="11"/>
      <c r="N4104" s="11"/>
      <c r="O4104" s="11"/>
      <c r="P4104" s="11"/>
    </row>
    <row r="4105" spans="8:16" x14ac:dyDescent="0.25">
      <c r="H4105" s="12"/>
      <c r="I4105" s="12"/>
      <c r="J4105" s="12"/>
      <c r="K4105" s="12"/>
      <c r="L4105" s="12"/>
      <c r="M4105" s="11"/>
      <c r="N4105" s="11"/>
      <c r="O4105" s="11"/>
      <c r="P4105" s="11"/>
    </row>
    <row r="4106" spans="8:16" x14ac:dyDescent="0.25">
      <c r="H4106" s="12"/>
      <c r="I4106" s="12"/>
      <c r="J4106" s="12"/>
      <c r="K4106" s="12"/>
      <c r="L4106" s="12"/>
      <c r="M4106" s="11"/>
      <c r="N4106" s="11"/>
      <c r="O4106" s="11"/>
      <c r="P4106" s="11"/>
    </row>
    <row r="4107" spans="8:16" x14ac:dyDescent="0.25">
      <c r="H4107" s="12"/>
      <c r="I4107" s="12"/>
      <c r="J4107" s="12"/>
      <c r="K4107" s="12"/>
      <c r="L4107" s="12"/>
      <c r="M4107" s="11"/>
      <c r="N4107" s="11"/>
      <c r="O4107" s="11"/>
      <c r="P4107" s="11"/>
    </row>
    <row r="4108" spans="8:16" x14ac:dyDescent="0.25">
      <c r="H4108" s="12"/>
      <c r="I4108" s="12"/>
      <c r="J4108" s="12"/>
      <c r="K4108" s="12"/>
      <c r="L4108" s="12"/>
      <c r="M4108" s="11"/>
      <c r="N4108" s="11"/>
      <c r="O4108" s="11"/>
      <c r="P4108" s="11"/>
    </row>
    <row r="4109" spans="8:16" x14ac:dyDescent="0.25">
      <c r="H4109" s="12"/>
      <c r="I4109" s="12"/>
      <c r="J4109" s="12"/>
      <c r="K4109" s="12"/>
      <c r="L4109" s="12"/>
      <c r="M4109" s="11"/>
      <c r="N4109" s="11"/>
      <c r="O4109" s="11"/>
      <c r="P4109" s="11"/>
    </row>
    <row r="4110" spans="8:16" x14ac:dyDescent="0.25">
      <c r="H4110" s="12"/>
      <c r="I4110" s="12"/>
      <c r="J4110" s="12"/>
      <c r="K4110" s="12"/>
      <c r="L4110" s="12"/>
      <c r="M4110" s="11"/>
      <c r="N4110" s="11"/>
      <c r="O4110" s="11"/>
      <c r="P4110" s="11"/>
    </row>
    <row r="4111" spans="8:16" x14ac:dyDescent="0.25">
      <c r="H4111" s="12"/>
      <c r="I4111" s="12"/>
      <c r="J4111" s="12"/>
      <c r="K4111" s="12"/>
      <c r="L4111" s="12"/>
      <c r="M4111" s="11"/>
      <c r="N4111" s="11"/>
      <c r="O4111" s="11"/>
      <c r="P4111" s="11"/>
    </row>
    <row r="4112" spans="8:16" x14ac:dyDescent="0.25">
      <c r="H4112" s="12"/>
      <c r="I4112" s="12"/>
      <c r="J4112" s="12"/>
      <c r="K4112" s="12"/>
      <c r="L4112" s="12"/>
      <c r="M4112" s="11"/>
      <c r="N4112" s="11"/>
      <c r="O4112" s="11"/>
      <c r="P4112" s="11"/>
    </row>
    <row r="4113" spans="8:16" x14ac:dyDescent="0.25">
      <c r="H4113" s="12"/>
      <c r="I4113" s="12"/>
      <c r="J4113" s="12"/>
      <c r="K4113" s="12"/>
      <c r="L4113" s="12"/>
      <c r="M4113" s="11"/>
      <c r="N4113" s="11"/>
      <c r="O4113" s="11"/>
      <c r="P4113" s="11"/>
    </row>
    <row r="4114" spans="8:16" x14ac:dyDescent="0.25">
      <c r="H4114" s="12"/>
      <c r="I4114" s="12"/>
      <c r="J4114" s="12"/>
      <c r="K4114" s="12"/>
      <c r="L4114" s="12"/>
      <c r="M4114" s="11"/>
      <c r="N4114" s="11"/>
      <c r="O4114" s="11"/>
      <c r="P4114" s="11"/>
    </row>
    <row r="4115" spans="8:16" x14ac:dyDescent="0.25">
      <c r="H4115" s="12"/>
      <c r="I4115" s="12"/>
      <c r="J4115" s="12"/>
      <c r="K4115" s="12"/>
      <c r="L4115" s="12"/>
      <c r="M4115" s="11"/>
      <c r="N4115" s="11"/>
      <c r="O4115" s="11"/>
      <c r="P4115" s="11"/>
    </row>
    <row r="4116" spans="8:16" x14ac:dyDescent="0.25">
      <c r="H4116" s="12"/>
      <c r="I4116" s="12"/>
      <c r="J4116" s="12"/>
      <c r="K4116" s="12"/>
      <c r="L4116" s="12"/>
      <c r="M4116" s="11"/>
      <c r="N4116" s="11"/>
      <c r="O4116" s="11"/>
      <c r="P4116" s="11"/>
    </row>
    <row r="4117" spans="8:16" x14ac:dyDescent="0.25">
      <c r="H4117" s="12"/>
      <c r="I4117" s="12"/>
      <c r="J4117" s="12"/>
      <c r="K4117" s="12"/>
      <c r="L4117" s="12"/>
      <c r="M4117" s="11"/>
      <c r="N4117" s="11"/>
      <c r="O4117" s="11"/>
      <c r="P4117" s="11"/>
    </row>
    <row r="4118" spans="8:16" x14ac:dyDescent="0.25">
      <c r="H4118" s="12"/>
      <c r="I4118" s="12"/>
      <c r="J4118" s="12"/>
      <c r="K4118" s="12"/>
      <c r="L4118" s="12"/>
      <c r="M4118" s="11"/>
      <c r="N4118" s="11"/>
      <c r="O4118" s="11"/>
      <c r="P4118" s="11"/>
    </row>
    <row r="4119" spans="8:16" x14ac:dyDescent="0.25">
      <c r="H4119" s="12"/>
      <c r="I4119" s="12"/>
      <c r="J4119" s="12"/>
      <c r="K4119" s="12"/>
      <c r="L4119" s="12"/>
      <c r="M4119" s="11"/>
      <c r="N4119" s="11"/>
      <c r="O4119" s="11"/>
      <c r="P4119" s="11"/>
    </row>
    <row r="4120" spans="8:16" x14ac:dyDescent="0.25">
      <c r="H4120" s="12"/>
      <c r="I4120" s="12"/>
      <c r="J4120" s="12"/>
      <c r="K4120" s="12"/>
      <c r="L4120" s="12"/>
      <c r="M4120" s="11"/>
      <c r="N4120" s="11"/>
      <c r="O4120" s="11"/>
      <c r="P4120" s="11"/>
    </row>
    <row r="4121" spans="8:16" x14ac:dyDescent="0.25">
      <c r="H4121" s="12"/>
      <c r="I4121" s="12"/>
      <c r="J4121" s="12"/>
      <c r="K4121" s="12"/>
      <c r="L4121" s="12"/>
      <c r="M4121" s="11"/>
      <c r="N4121" s="11"/>
      <c r="O4121" s="11"/>
      <c r="P4121" s="11"/>
    </row>
    <row r="4122" spans="8:16" x14ac:dyDescent="0.25">
      <c r="H4122" s="12"/>
      <c r="I4122" s="12"/>
      <c r="J4122" s="12"/>
      <c r="K4122" s="12"/>
      <c r="L4122" s="12"/>
      <c r="M4122" s="11"/>
      <c r="N4122" s="11"/>
      <c r="O4122" s="11"/>
      <c r="P4122" s="11"/>
    </row>
    <row r="4123" spans="8:16" x14ac:dyDescent="0.25">
      <c r="H4123" s="12"/>
      <c r="I4123" s="12"/>
      <c r="J4123" s="12"/>
      <c r="K4123" s="12"/>
      <c r="L4123" s="12"/>
      <c r="M4123" s="11"/>
      <c r="N4123" s="11"/>
      <c r="O4123" s="11"/>
      <c r="P4123" s="11"/>
    </row>
    <row r="4124" spans="8:16" x14ac:dyDescent="0.25">
      <c r="H4124" s="12"/>
      <c r="I4124" s="12"/>
      <c r="J4124" s="12"/>
      <c r="K4124" s="12"/>
      <c r="L4124" s="12"/>
      <c r="M4124" s="11"/>
      <c r="N4124" s="11"/>
      <c r="O4124" s="11"/>
      <c r="P4124" s="11"/>
    </row>
    <row r="4125" spans="8:16" x14ac:dyDescent="0.25">
      <c r="H4125" s="12"/>
      <c r="I4125" s="12"/>
      <c r="J4125" s="12"/>
      <c r="K4125" s="12"/>
      <c r="L4125" s="12"/>
      <c r="M4125" s="11"/>
      <c r="N4125" s="11"/>
      <c r="O4125" s="11"/>
      <c r="P4125" s="11"/>
    </row>
    <row r="4126" spans="8:16" x14ac:dyDescent="0.25">
      <c r="H4126" s="12"/>
      <c r="I4126" s="12"/>
      <c r="J4126" s="12"/>
      <c r="K4126" s="12"/>
      <c r="L4126" s="12"/>
      <c r="M4126" s="11"/>
      <c r="N4126" s="11"/>
      <c r="O4126" s="11"/>
      <c r="P4126" s="11"/>
    </row>
    <row r="4127" spans="8:16" x14ac:dyDescent="0.25">
      <c r="H4127" s="12"/>
      <c r="I4127" s="12"/>
      <c r="J4127" s="12"/>
      <c r="K4127" s="12"/>
      <c r="L4127" s="12"/>
      <c r="M4127" s="11"/>
      <c r="N4127" s="11"/>
      <c r="O4127" s="11"/>
      <c r="P4127" s="11"/>
    </row>
    <row r="4128" spans="8:16" x14ac:dyDescent="0.25">
      <c r="H4128" s="12"/>
      <c r="I4128" s="12"/>
      <c r="J4128" s="12"/>
      <c r="K4128" s="12"/>
      <c r="L4128" s="12"/>
      <c r="M4128" s="11"/>
      <c r="N4128" s="11"/>
      <c r="O4128" s="11"/>
      <c r="P4128" s="11"/>
    </row>
    <row r="4129" spans="8:16" x14ac:dyDescent="0.25">
      <c r="H4129" s="12"/>
      <c r="I4129" s="12"/>
      <c r="J4129" s="12"/>
      <c r="K4129" s="12"/>
      <c r="L4129" s="12"/>
      <c r="M4129" s="11"/>
      <c r="N4129" s="11"/>
      <c r="O4129" s="11"/>
      <c r="P4129" s="11"/>
    </row>
    <row r="4130" spans="8:16" x14ac:dyDescent="0.25">
      <c r="H4130" s="12"/>
      <c r="I4130" s="12"/>
      <c r="J4130" s="12"/>
      <c r="K4130" s="12"/>
      <c r="L4130" s="12"/>
      <c r="M4130" s="11"/>
      <c r="N4130" s="11"/>
      <c r="O4130" s="11"/>
      <c r="P4130" s="11"/>
    </row>
    <row r="4131" spans="8:16" x14ac:dyDescent="0.25">
      <c r="H4131" s="12"/>
      <c r="I4131" s="12"/>
      <c r="J4131" s="12"/>
      <c r="K4131" s="12"/>
      <c r="L4131" s="12"/>
      <c r="M4131" s="11"/>
      <c r="N4131" s="11"/>
      <c r="O4131" s="11"/>
      <c r="P4131" s="11"/>
    </row>
    <row r="4132" spans="8:16" x14ac:dyDescent="0.25">
      <c r="H4132" s="12"/>
      <c r="I4132" s="12"/>
      <c r="J4132" s="12"/>
      <c r="K4132" s="12"/>
      <c r="L4132" s="12"/>
      <c r="M4132" s="11"/>
      <c r="N4132" s="11"/>
      <c r="O4132" s="11"/>
      <c r="P4132" s="11"/>
    </row>
    <row r="4133" spans="8:16" x14ac:dyDescent="0.25">
      <c r="H4133" s="12"/>
      <c r="I4133" s="12"/>
      <c r="J4133" s="12"/>
      <c r="K4133" s="12"/>
      <c r="L4133" s="12"/>
      <c r="M4133" s="11"/>
      <c r="N4133" s="11"/>
      <c r="O4133" s="11"/>
      <c r="P4133" s="11"/>
    </row>
    <row r="4134" spans="8:16" x14ac:dyDescent="0.25">
      <c r="H4134" s="12"/>
      <c r="I4134" s="12"/>
      <c r="J4134" s="12"/>
      <c r="K4134" s="12"/>
      <c r="L4134" s="12"/>
      <c r="M4134" s="11"/>
      <c r="N4134" s="11"/>
      <c r="O4134" s="11"/>
      <c r="P4134" s="11"/>
    </row>
    <row r="4135" spans="8:16" x14ac:dyDescent="0.25">
      <c r="H4135" s="12"/>
      <c r="I4135" s="12"/>
      <c r="J4135" s="12"/>
      <c r="K4135" s="12"/>
      <c r="L4135" s="12"/>
      <c r="M4135" s="11"/>
      <c r="N4135" s="11"/>
      <c r="O4135" s="11"/>
      <c r="P4135" s="11"/>
    </row>
    <row r="4136" spans="8:16" x14ac:dyDescent="0.25">
      <c r="H4136" s="12"/>
      <c r="I4136" s="12"/>
      <c r="J4136" s="12"/>
      <c r="K4136" s="12"/>
      <c r="L4136" s="12"/>
      <c r="M4136" s="11"/>
      <c r="N4136" s="11"/>
      <c r="O4136" s="11"/>
      <c r="P4136" s="11"/>
    </row>
    <row r="4137" spans="8:16" x14ac:dyDescent="0.25">
      <c r="H4137" s="12"/>
      <c r="I4137" s="12"/>
      <c r="J4137" s="12"/>
      <c r="K4137" s="12"/>
      <c r="L4137" s="12"/>
      <c r="M4137" s="11"/>
      <c r="N4137" s="11"/>
      <c r="O4137" s="11"/>
      <c r="P4137" s="11"/>
    </row>
    <row r="4138" spans="8:16" x14ac:dyDescent="0.25">
      <c r="H4138" s="12"/>
      <c r="I4138" s="12"/>
      <c r="J4138" s="12"/>
      <c r="K4138" s="12"/>
      <c r="L4138" s="12"/>
      <c r="M4138" s="11"/>
      <c r="N4138" s="11"/>
      <c r="O4138" s="11"/>
      <c r="P4138" s="11"/>
    </row>
    <row r="4139" spans="8:16" x14ac:dyDescent="0.25">
      <c r="H4139" s="12"/>
      <c r="I4139" s="12"/>
      <c r="J4139" s="12"/>
      <c r="K4139" s="12"/>
      <c r="L4139" s="12"/>
      <c r="M4139" s="11"/>
      <c r="N4139" s="11"/>
      <c r="O4139" s="11"/>
      <c r="P4139" s="11"/>
    </row>
    <row r="4140" spans="8:16" x14ac:dyDescent="0.25">
      <c r="H4140" s="12"/>
      <c r="I4140" s="12"/>
      <c r="J4140" s="12"/>
      <c r="K4140" s="12"/>
      <c r="L4140" s="12"/>
      <c r="M4140" s="11"/>
      <c r="N4140" s="11"/>
      <c r="O4140" s="11"/>
      <c r="P4140" s="11"/>
    </row>
    <row r="4141" spans="8:16" x14ac:dyDescent="0.25">
      <c r="H4141" s="12"/>
      <c r="I4141" s="12"/>
      <c r="J4141" s="12"/>
      <c r="K4141" s="12"/>
      <c r="L4141" s="12"/>
      <c r="M4141" s="11"/>
      <c r="N4141" s="11"/>
      <c r="O4141" s="11"/>
      <c r="P4141" s="11"/>
    </row>
    <row r="4142" spans="8:16" x14ac:dyDescent="0.25">
      <c r="H4142" s="12"/>
      <c r="I4142" s="12"/>
      <c r="J4142" s="12"/>
      <c r="K4142" s="12"/>
      <c r="L4142" s="12"/>
      <c r="M4142" s="11"/>
      <c r="N4142" s="11"/>
      <c r="O4142" s="11"/>
      <c r="P4142" s="11"/>
    </row>
    <row r="4143" spans="8:16" x14ac:dyDescent="0.25">
      <c r="H4143" s="12"/>
      <c r="I4143" s="12"/>
      <c r="J4143" s="12"/>
      <c r="K4143" s="12"/>
      <c r="L4143" s="12"/>
      <c r="M4143" s="11"/>
      <c r="N4143" s="11"/>
      <c r="O4143" s="11"/>
      <c r="P4143" s="11"/>
    </row>
    <row r="4144" spans="8:16" x14ac:dyDescent="0.25">
      <c r="H4144" s="12"/>
      <c r="I4144" s="12"/>
      <c r="J4144" s="12"/>
      <c r="K4144" s="12"/>
      <c r="L4144" s="12"/>
      <c r="M4144" s="11"/>
      <c r="N4144" s="11"/>
      <c r="O4144" s="11"/>
      <c r="P4144" s="11"/>
    </row>
    <row r="4145" spans="8:16" x14ac:dyDescent="0.25">
      <c r="H4145" s="12"/>
      <c r="I4145" s="12"/>
      <c r="J4145" s="12"/>
      <c r="K4145" s="12"/>
      <c r="L4145" s="12"/>
      <c r="M4145" s="11"/>
      <c r="N4145" s="11"/>
      <c r="O4145" s="11"/>
      <c r="P4145" s="11"/>
    </row>
    <row r="4146" spans="8:16" x14ac:dyDescent="0.25">
      <c r="H4146" s="12"/>
      <c r="I4146" s="12"/>
      <c r="J4146" s="12"/>
      <c r="K4146" s="12"/>
      <c r="L4146" s="12"/>
      <c r="M4146" s="11"/>
      <c r="N4146" s="11"/>
      <c r="O4146" s="11"/>
      <c r="P4146" s="11"/>
    </row>
    <row r="4147" spans="8:16" x14ac:dyDescent="0.25">
      <c r="H4147" s="12"/>
      <c r="I4147" s="12"/>
      <c r="J4147" s="12"/>
      <c r="K4147" s="12"/>
      <c r="L4147" s="12"/>
      <c r="M4147" s="11"/>
      <c r="N4147" s="11"/>
      <c r="O4147" s="11"/>
      <c r="P4147" s="11"/>
    </row>
    <row r="4148" spans="8:16" x14ac:dyDescent="0.25">
      <c r="H4148" s="12"/>
      <c r="I4148" s="12"/>
      <c r="J4148" s="12"/>
      <c r="K4148" s="12"/>
      <c r="L4148" s="12"/>
      <c r="M4148" s="11"/>
      <c r="N4148" s="11"/>
      <c r="O4148" s="11"/>
      <c r="P4148" s="11"/>
    </row>
    <row r="4149" spans="8:16" x14ac:dyDescent="0.25">
      <c r="H4149" s="12"/>
      <c r="I4149" s="12"/>
      <c r="J4149" s="12"/>
      <c r="K4149" s="12"/>
      <c r="L4149" s="12"/>
      <c r="M4149" s="11"/>
      <c r="N4149" s="11"/>
      <c r="O4149" s="11"/>
      <c r="P4149" s="11"/>
    </row>
    <row r="4150" spans="8:16" x14ac:dyDescent="0.25">
      <c r="H4150" s="12"/>
      <c r="I4150" s="12"/>
      <c r="J4150" s="12"/>
      <c r="K4150" s="12"/>
      <c r="L4150" s="12"/>
      <c r="M4150" s="11"/>
      <c r="N4150" s="11"/>
      <c r="O4150" s="11"/>
      <c r="P4150" s="11"/>
    </row>
    <row r="4151" spans="8:16" x14ac:dyDescent="0.25">
      <c r="H4151" s="12"/>
      <c r="I4151" s="12"/>
      <c r="J4151" s="12"/>
      <c r="K4151" s="12"/>
      <c r="L4151" s="12"/>
      <c r="M4151" s="11"/>
      <c r="N4151" s="11"/>
      <c r="O4151" s="11"/>
      <c r="P4151" s="11"/>
    </row>
    <row r="4152" spans="8:16" x14ac:dyDescent="0.25">
      <c r="H4152" s="12"/>
      <c r="I4152" s="12"/>
      <c r="J4152" s="12"/>
      <c r="K4152" s="12"/>
      <c r="L4152" s="12"/>
      <c r="M4152" s="11"/>
      <c r="N4152" s="11"/>
      <c r="O4152" s="11"/>
      <c r="P4152" s="11"/>
    </row>
    <row r="4153" spans="8:16" x14ac:dyDescent="0.25">
      <c r="H4153" s="12"/>
      <c r="I4153" s="12"/>
      <c r="J4153" s="12"/>
      <c r="K4153" s="12"/>
      <c r="L4153" s="12"/>
      <c r="M4153" s="11"/>
      <c r="N4153" s="11"/>
      <c r="O4153" s="11"/>
      <c r="P4153" s="11"/>
    </row>
    <row r="4154" spans="8:16" x14ac:dyDescent="0.25">
      <c r="H4154" s="12"/>
      <c r="I4154" s="12"/>
      <c r="J4154" s="12"/>
      <c r="K4154" s="12"/>
      <c r="L4154" s="12"/>
      <c r="M4154" s="11"/>
      <c r="N4154" s="11"/>
      <c r="O4154" s="11"/>
      <c r="P4154" s="11"/>
    </row>
    <row r="4155" spans="8:16" x14ac:dyDescent="0.25">
      <c r="H4155" s="12"/>
      <c r="I4155" s="12"/>
      <c r="J4155" s="12"/>
      <c r="K4155" s="12"/>
      <c r="L4155" s="12"/>
      <c r="M4155" s="11"/>
      <c r="N4155" s="11"/>
      <c r="O4155" s="11"/>
      <c r="P4155" s="11"/>
    </row>
    <row r="4156" spans="8:16" x14ac:dyDescent="0.25">
      <c r="H4156" s="12"/>
      <c r="I4156" s="12"/>
      <c r="J4156" s="12"/>
      <c r="K4156" s="12"/>
      <c r="L4156" s="12"/>
      <c r="M4156" s="11"/>
      <c r="N4156" s="11"/>
      <c r="O4156" s="11"/>
      <c r="P4156" s="11"/>
    </row>
    <row r="4157" spans="8:16" x14ac:dyDescent="0.25">
      <c r="H4157" s="12"/>
      <c r="I4157" s="12"/>
      <c r="J4157" s="12"/>
      <c r="K4157" s="12"/>
      <c r="L4157" s="12"/>
      <c r="M4157" s="11"/>
      <c r="N4157" s="11"/>
      <c r="O4157" s="11"/>
      <c r="P4157" s="11"/>
    </row>
    <row r="4158" spans="8:16" x14ac:dyDescent="0.25">
      <c r="H4158" s="12"/>
      <c r="I4158" s="12"/>
      <c r="J4158" s="12"/>
      <c r="K4158" s="12"/>
      <c r="L4158" s="12"/>
      <c r="M4158" s="11"/>
      <c r="N4158" s="11"/>
      <c r="O4158" s="11"/>
      <c r="P4158" s="11"/>
    </row>
    <row r="4159" spans="8:16" x14ac:dyDescent="0.25">
      <c r="H4159" s="12"/>
      <c r="I4159" s="12"/>
      <c r="J4159" s="12"/>
      <c r="K4159" s="12"/>
      <c r="L4159" s="12"/>
      <c r="M4159" s="11"/>
      <c r="N4159" s="11"/>
      <c r="O4159" s="11"/>
      <c r="P4159" s="11"/>
    </row>
    <row r="4160" spans="8:16" x14ac:dyDescent="0.25">
      <c r="H4160" s="12"/>
      <c r="I4160" s="12"/>
      <c r="J4160" s="12"/>
      <c r="K4160" s="12"/>
      <c r="L4160" s="12"/>
      <c r="M4160" s="11"/>
      <c r="N4160" s="11"/>
      <c r="O4160" s="11"/>
      <c r="P4160" s="11"/>
    </row>
    <row r="4161" spans="8:16" x14ac:dyDescent="0.25">
      <c r="H4161" s="12"/>
      <c r="I4161" s="12"/>
      <c r="J4161" s="12"/>
      <c r="K4161" s="12"/>
      <c r="L4161" s="12"/>
      <c r="M4161" s="11"/>
      <c r="N4161" s="11"/>
      <c r="O4161" s="11"/>
      <c r="P4161" s="11"/>
    </row>
    <row r="4162" spans="8:16" x14ac:dyDescent="0.25">
      <c r="H4162" s="12"/>
      <c r="I4162" s="12"/>
      <c r="J4162" s="12"/>
      <c r="K4162" s="12"/>
      <c r="L4162" s="12"/>
      <c r="M4162" s="11"/>
      <c r="N4162" s="11"/>
      <c r="O4162" s="11"/>
      <c r="P4162" s="11"/>
    </row>
    <row r="4163" spans="8:16" x14ac:dyDescent="0.25">
      <c r="H4163" s="12"/>
      <c r="I4163" s="12"/>
      <c r="J4163" s="12"/>
      <c r="K4163" s="12"/>
      <c r="L4163" s="12"/>
      <c r="M4163" s="11"/>
      <c r="N4163" s="11"/>
      <c r="O4163" s="11"/>
      <c r="P4163" s="11"/>
    </row>
    <row r="4164" spans="8:16" x14ac:dyDescent="0.25">
      <c r="H4164" s="12"/>
      <c r="I4164" s="12"/>
      <c r="J4164" s="12"/>
      <c r="K4164" s="12"/>
      <c r="L4164" s="12"/>
      <c r="M4164" s="11"/>
      <c r="N4164" s="11"/>
      <c r="O4164" s="11"/>
      <c r="P4164" s="11"/>
    </row>
    <row r="4165" spans="8:16" x14ac:dyDescent="0.25">
      <c r="H4165" s="12"/>
      <c r="I4165" s="12"/>
      <c r="J4165" s="12"/>
      <c r="K4165" s="12"/>
      <c r="L4165" s="12"/>
      <c r="M4165" s="11"/>
      <c r="N4165" s="11"/>
      <c r="O4165" s="11"/>
      <c r="P4165" s="11"/>
    </row>
    <row r="4166" spans="8:16" x14ac:dyDescent="0.25">
      <c r="H4166" s="12"/>
      <c r="I4166" s="12"/>
      <c r="J4166" s="12"/>
      <c r="K4166" s="12"/>
      <c r="L4166" s="12"/>
      <c r="M4166" s="11"/>
      <c r="N4166" s="11"/>
      <c r="O4166" s="11"/>
      <c r="P4166" s="11"/>
    </row>
    <row r="4167" spans="8:16" x14ac:dyDescent="0.25">
      <c r="H4167" s="12"/>
      <c r="I4167" s="12"/>
      <c r="J4167" s="12"/>
      <c r="K4167" s="12"/>
      <c r="L4167" s="12"/>
      <c r="M4167" s="11"/>
      <c r="N4167" s="11"/>
      <c r="O4167" s="11"/>
      <c r="P4167" s="11"/>
    </row>
    <row r="4168" spans="8:16" x14ac:dyDescent="0.25">
      <c r="H4168" s="12"/>
      <c r="I4168" s="12"/>
      <c r="J4168" s="12"/>
      <c r="K4168" s="12"/>
      <c r="L4168" s="12"/>
      <c r="M4168" s="11"/>
      <c r="N4168" s="11"/>
      <c r="O4168" s="11"/>
      <c r="P4168" s="11"/>
    </row>
    <row r="4169" spans="8:16" x14ac:dyDescent="0.25">
      <c r="H4169" s="12"/>
      <c r="I4169" s="12"/>
      <c r="J4169" s="12"/>
      <c r="K4169" s="12"/>
      <c r="L4169" s="12"/>
      <c r="M4169" s="11"/>
      <c r="N4169" s="11"/>
      <c r="O4169" s="11"/>
      <c r="P4169" s="11"/>
    </row>
    <row r="4170" spans="8:16" x14ac:dyDescent="0.25">
      <c r="H4170" s="12"/>
      <c r="I4170" s="12"/>
      <c r="J4170" s="12"/>
      <c r="K4170" s="12"/>
      <c r="L4170" s="12"/>
      <c r="M4170" s="11"/>
      <c r="N4170" s="11"/>
      <c r="O4170" s="11"/>
      <c r="P4170" s="11"/>
    </row>
    <row r="4171" spans="8:16" x14ac:dyDescent="0.25">
      <c r="H4171" s="12"/>
      <c r="I4171" s="12"/>
      <c r="J4171" s="12"/>
      <c r="K4171" s="12"/>
      <c r="L4171" s="12"/>
      <c r="M4171" s="11"/>
      <c r="N4171" s="11"/>
      <c r="O4171" s="11"/>
      <c r="P4171" s="11"/>
    </row>
    <row r="4172" spans="8:16" x14ac:dyDescent="0.25">
      <c r="H4172" s="12"/>
      <c r="I4172" s="12"/>
      <c r="J4172" s="12"/>
      <c r="K4172" s="12"/>
      <c r="L4172" s="12"/>
      <c r="M4172" s="11"/>
      <c r="N4172" s="11"/>
      <c r="O4172" s="11"/>
      <c r="P4172" s="11"/>
    </row>
    <row r="4173" spans="8:16" x14ac:dyDescent="0.25">
      <c r="H4173" s="12"/>
      <c r="I4173" s="12"/>
      <c r="J4173" s="12"/>
      <c r="K4173" s="12"/>
      <c r="L4173" s="12"/>
      <c r="M4173" s="11"/>
      <c r="N4173" s="11"/>
      <c r="O4173" s="11"/>
      <c r="P4173" s="11"/>
    </row>
    <row r="4174" spans="8:16" x14ac:dyDescent="0.25">
      <c r="H4174" s="12"/>
      <c r="I4174" s="12"/>
      <c r="J4174" s="12"/>
      <c r="K4174" s="12"/>
      <c r="L4174" s="12"/>
      <c r="M4174" s="11"/>
      <c r="N4174" s="11"/>
      <c r="O4174" s="11"/>
      <c r="P4174" s="11"/>
    </row>
    <row r="4175" spans="8:16" x14ac:dyDescent="0.25">
      <c r="H4175" s="12"/>
      <c r="I4175" s="12"/>
      <c r="J4175" s="12"/>
      <c r="K4175" s="12"/>
      <c r="L4175" s="12"/>
      <c r="M4175" s="11"/>
      <c r="N4175" s="11"/>
      <c r="O4175" s="11"/>
      <c r="P4175" s="11"/>
    </row>
    <row r="4176" spans="8:16" x14ac:dyDescent="0.25">
      <c r="H4176" s="12"/>
      <c r="I4176" s="12"/>
      <c r="J4176" s="12"/>
      <c r="K4176" s="12"/>
      <c r="L4176" s="12"/>
      <c r="M4176" s="11"/>
      <c r="N4176" s="11"/>
      <c r="O4176" s="11"/>
      <c r="P4176" s="11"/>
    </row>
    <row r="4177" spans="8:16" x14ac:dyDescent="0.25">
      <c r="H4177" s="12"/>
      <c r="I4177" s="12"/>
      <c r="J4177" s="12"/>
      <c r="K4177" s="12"/>
      <c r="L4177" s="12"/>
      <c r="M4177" s="11"/>
      <c r="N4177" s="11"/>
      <c r="O4177" s="11"/>
      <c r="P4177" s="11"/>
    </row>
    <row r="4178" spans="8:16" x14ac:dyDescent="0.25">
      <c r="H4178" s="12"/>
      <c r="I4178" s="12"/>
      <c r="J4178" s="12"/>
      <c r="K4178" s="12"/>
      <c r="L4178" s="12"/>
      <c r="M4178" s="11"/>
      <c r="N4178" s="11"/>
      <c r="O4178" s="11"/>
      <c r="P4178" s="11"/>
    </row>
    <row r="4179" spans="8:16" x14ac:dyDescent="0.25">
      <c r="H4179" s="12"/>
      <c r="I4179" s="12"/>
      <c r="J4179" s="12"/>
      <c r="K4179" s="12"/>
      <c r="L4179" s="12"/>
      <c r="M4179" s="11"/>
      <c r="N4179" s="11"/>
      <c r="O4179" s="11"/>
      <c r="P4179" s="11"/>
    </row>
    <row r="4180" spans="8:16" x14ac:dyDescent="0.25">
      <c r="H4180" s="12"/>
      <c r="I4180" s="12"/>
      <c r="J4180" s="12"/>
      <c r="K4180" s="12"/>
      <c r="L4180" s="12"/>
      <c r="M4180" s="11"/>
      <c r="N4180" s="11"/>
      <c r="O4180" s="11"/>
      <c r="P4180" s="11"/>
    </row>
    <row r="4181" spans="8:16" x14ac:dyDescent="0.25">
      <c r="H4181" s="12"/>
      <c r="I4181" s="12"/>
      <c r="J4181" s="12"/>
      <c r="K4181" s="12"/>
      <c r="L4181" s="12"/>
      <c r="M4181" s="11"/>
      <c r="N4181" s="11"/>
      <c r="O4181" s="11"/>
      <c r="P4181" s="11"/>
    </row>
    <row r="4182" spans="8:16" x14ac:dyDescent="0.25">
      <c r="H4182" s="12"/>
      <c r="I4182" s="12"/>
      <c r="J4182" s="12"/>
      <c r="K4182" s="12"/>
      <c r="L4182" s="12"/>
      <c r="M4182" s="11"/>
      <c r="N4182" s="11"/>
      <c r="O4182" s="11"/>
      <c r="P4182" s="11"/>
    </row>
    <row r="4183" spans="8:16" x14ac:dyDescent="0.25">
      <c r="H4183" s="12"/>
      <c r="I4183" s="12"/>
      <c r="J4183" s="12"/>
      <c r="K4183" s="12"/>
      <c r="L4183" s="12"/>
      <c r="M4183" s="11"/>
      <c r="N4183" s="11"/>
      <c r="O4183" s="11"/>
      <c r="P4183" s="11"/>
    </row>
    <row r="4184" spans="8:16" x14ac:dyDescent="0.25">
      <c r="H4184" s="12"/>
      <c r="I4184" s="12"/>
      <c r="J4184" s="12"/>
      <c r="K4184" s="12"/>
      <c r="L4184" s="12"/>
      <c r="M4184" s="11"/>
      <c r="N4184" s="11"/>
      <c r="O4184" s="11"/>
      <c r="P4184" s="11"/>
    </row>
    <row r="4185" spans="8:16" x14ac:dyDescent="0.25">
      <c r="H4185" s="12"/>
      <c r="I4185" s="12"/>
      <c r="J4185" s="12"/>
      <c r="K4185" s="12"/>
      <c r="L4185" s="12"/>
      <c r="M4185" s="11"/>
      <c r="N4185" s="11"/>
      <c r="O4185" s="11"/>
      <c r="P4185" s="11"/>
    </row>
    <row r="4186" spans="8:16" x14ac:dyDescent="0.25">
      <c r="H4186" s="12"/>
      <c r="I4186" s="12"/>
      <c r="J4186" s="12"/>
      <c r="K4186" s="12"/>
      <c r="L4186" s="12"/>
      <c r="M4186" s="11"/>
      <c r="N4186" s="11"/>
      <c r="O4186" s="11"/>
      <c r="P4186" s="11"/>
    </row>
    <row r="4187" spans="8:16" x14ac:dyDescent="0.25">
      <c r="H4187" s="12"/>
      <c r="I4187" s="12"/>
      <c r="J4187" s="12"/>
      <c r="K4187" s="12"/>
      <c r="L4187" s="12"/>
      <c r="M4187" s="11"/>
      <c r="N4187" s="11"/>
      <c r="O4187" s="11"/>
      <c r="P4187" s="11"/>
    </row>
    <row r="4188" spans="8:16" x14ac:dyDescent="0.25">
      <c r="H4188" s="12"/>
      <c r="I4188" s="12"/>
      <c r="J4188" s="12"/>
      <c r="K4188" s="12"/>
      <c r="L4188" s="12"/>
      <c r="M4188" s="11"/>
      <c r="N4188" s="11"/>
      <c r="O4188" s="11"/>
      <c r="P4188" s="11"/>
    </row>
    <row r="4189" spans="8:16" x14ac:dyDescent="0.25">
      <c r="H4189" s="12"/>
      <c r="I4189" s="12"/>
      <c r="J4189" s="12"/>
      <c r="K4189" s="12"/>
      <c r="L4189" s="12"/>
      <c r="M4189" s="11"/>
      <c r="N4189" s="11"/>
      <c r="O4189" s="11"/>
      <c r="P4189" s="11"/>
    </row>
    <row r="4190" spans="8:16" x14ac:dyDescent="0.25">
      <c r="H4190" s="12"/>
      <c r="I4190" s="12"/>
      <c r="J4190" s="12"/>
      <c r="K4190" s="12"/>
      <c r="L4190" s="12"/>
      <c r="M4190" s="11"/>
      <c r="N4190" s="11"/>
      <c r="O4190" s="11"/>
      <c r="P4190" s="11"/>
    </row>
    <row r="4191" spans="8:16" x14ac:dyDescent="0.25">
      <c r="H4191" s="12"/>
      <c r="I4191" s="12"/>
      <c r="J4191" s="12"/>
      <c r="K4191" s="12"/>
      <c r="L4191" s="12"/>
      <c r="M4191" s="11"/>
      <c r="N4191" s="11"/>
      <c r="O4191" s="11"/>
      <c r="P4191" s="11"/>
    </row>
    <row r="4192" spans="8:16" x14ac:dyDescent="0.25">
      <c r="H4192" s="12"/>
      <c r="I4192" s="12"/>
      <c r="J4192" s="12"/>
      <c r="K4192" s="12"/>
      <c r="L4192" s="12"/>
      <c r="M4192" s="11"/>
      <c r="N4192" s="11"/>
      <c r="O4192" s="11"/>
      <c r="P4192" s="11"/>
    </row>
    <row r="4193" spans="8:16" x14ac:dyDescent="0.25">
      <c r="H4193" s="12"/>
      <c r="I4193" s="12"/>
      <c r="J4193" s="12"/>
      <c r="K4193" s="12"/>
      <c r="L4193" s="12"/>
      <c r="M4193" s="11"/>
      <c r="N4193" s="11"/>
      <c r="O4193" s="11"/>
      <c r="P4193" s="11"/>
    </row>
    <row r="4194" spans="8:16" x14ac:dyDescent="0.25">
      <c r="H4194" s="12"/>
      <c r="I4194" s="12"/>
      <c r="J4194" s="12"/>
      <c r="K4194" s="12"/>
      <c r="L4194" s="12"/>
      <c r="M4194" s="11"/>
      <c r="N4194" s="11"/>
      <c r="O4194" s="11"/>
      <c r="P4194" s="11"/>
    </row>
    <row r="4195" spans="8:16" x14ac:dyDescent="0.25">
      <c r="H4195" s="12"/>
      <c r="I4195" s="12"/>
      <c r="J4195" s="12"/>
      <c r="K4195" s="12"/>
      <c r="L4195" s="12"/>
      <c r="M4195" s="11"/>
      <c r="N4195" s="11"/>
      <c r="O4195" s="11"/>
      <c r="P4195" s="11"/>
    </row>
    <row r="4196" spans="8:16" x14ac:dyDescent="0.25">
      <c r="H4196" s="12"/>
      <c r="I4196" s="12"/>
      <c r="J4196" s="12"/>
      <c r="K4196" s="12"/>
      <c r="L4196" s="12"/>
      <c r="M4196" s="11"/>
      <c r="N4196" s="11"/>
      <c r="O4196" s="11"/>
      <c r="P4196" s="11"/>
    </row>
    <row r="4197" spans="8:16" x14ac:dyDescent="0.25">
      <c r="H4197" s="12"/>
      <c r="I4197" s="12"/>
      <c r="J4197" s="12"/>
      <c r="K4197" s="12"/>
      <c r="L4197" s="12"/>
      <c r="M4197" s="11"/>
      <c r="N4197" s="11"/>
      <c r="O4197" s="11"/>
      <c r="P4197" s="11"/>
    </row>
    <row r="4198" spans="8:16" x14ac:dyDescent="0.25">
      <c r="H4198" s="12"/>
      <c r="I4198" s="12"/>
      <c r="J4198" s="12"/>
      <c r="K4198" s="12"/>
      <c r="L4198" s="12"/>
      <c r="M4198" s="11"/>
      <c r="N4198" s="11"/>
      <c r="O4198" s="11"/>
      <c r="P4198" s="11"/>
    </row>
    <row r="4199" spans="8:16" x14ac:dyDescent="0.25">
      <c r="H4199" s="12"/>
      <c r="I4199" s="12"/>
      <c r="J4199" s="12"/>
      <c r="K4199" s="12"/>
      <c r="L4199" s="12"/>
      <c r="M4199" s="11"/>
      <c r="N4199" s="11"/>
      <c r="O4199" s="11"/>
      <c r="P4199" s="11"/>
    </row>
    <row r="4200" spans="8:16" x14ac:dyDescent="0.25">
      <c r="H4200" s="12"/>
      <c r="I4200" s="12"/>
      <c r="J4200" s="12"/>
      <c r="K4200" s="12"/>
      <c r="L4200" s="12"/>
      <c r="M4200" s="11"/>
      <c r="N4200" s="11"/>
      <c r="O4200" s="11"/>
      <c r="P4200" s="11"/>
    </row>
    <row r="4201" spans="8:16" x14ac:dyDescent="0.25">
      <c r="H4201" s="12"/>
      <c r="I4201" s="12"/>
      <c r="J4201" s="12"/>
      <c r="K4201" s="12"/>
      <c r="L4201" s="12"/>
      <c r="M4201" s="11"/>
      <c r="N4201" s="11"/>
      <c r="O4201" s="11"/>
      <c r="P4201" s="11"/>
    </row>
    <row r="4202" spans="8:16" x14ac:dyDescent="0.25">
      <c r="H4202" s="12"/>
      <c r="I4202" s="12"/>
      <c r="J4202" s="12"/>
      <c r="K4202" s="12"/>
      <c r="L4202" s="12"/>
      <c r="M4202" s="11"/>
      <c r="N4202" s="11"/>
      <c r="O4202" s="11"/>
      <c r="P4202" s="11"/>
    </row>
    <row r="4203" spans="8:16" x14ac:dyDescent="0.25">
      <c r="H4203" s="12"/>
      <c r="I4203" s="12"/>
      <c r="J4203" s="12"/>
      <c r="K4203" s="12"/>
      <c r="L4203" s="12"/>
      <c r="M4203" s="11"/>
      <c r="N4203" s="11"/>
      <c r="O4203" s="11"/>
      <c r="P4203" s="11"/>
    </row>
    <row r="4204" spans="8:16" x14ac:dyDescent="0.25">
      <c r="H4204" s="12"/>
      <c r="I4204" s="12"/>
      <c r="J4204" s="12"/>
      <c r="K4204" s="12"/>
      <c r="L4204" s="12"/>
      <c r="M4204" s="11"/>
      <c r="N4204" s="11"/>
      <c r="O4204" s="11"/>
      <c r="P4204" s="11"/>
    </row>
    <row r="4205" spans="8:16" x14ac:dyDescent="0.25">
      <c r="H4205" s="12"/>
      <c r="I4205" s="12"/>
      <c r="J4205" s="12"/>
      <c r="K4205" s="12"/>
      <c r="L4205" s="12"/>
      <c r="M4205" s="11"/>
      <c r="N4205" s="11"/>
      <c r="O4205" s="11"/>
      <c r="P4205" s="11"/>
    </row>
    <row r="4206" spans="8:16" x14ac:dyDescent="0.25">
      <c r="H4206" s="12"/>
      <c r="I4206" s="12"/>
      <c r="J4206" s="12"/>
      <c r="K4206" s="12"/>
      <c r="L4206" s="12"/>
      <c r="M4206" s="11"/>
      <c r="N4206" s="11"/>
      <c r="O4206" s="11"/>
      <c r="P4206" s="11"/>
    </row>
    <row r="4207" spans="8:16" x14ac:dyDescent="0.25">
      <c r="H4207" s="12"/>
      <c r="I4207" s="12"/>
      <c r="J4207" s="12"/>
      <c r="K4207" s="12"/>
      <c r="L4207" s="12"/>
      <c r="M4207" s="11"/>
      <c r="N4207" s="11"/>
      <c r="O4207" s="11"/>
      <c r="P4207" s="11"/>
    </row>
    <row r="4208" spans="8:16" x14ac:dyDescent="0.25">
      <c r="H4208" s="12"/>
      <c r="I4208" s="12"/>
      <c r="J4208" s="12"/>
      <c r="K4208" s="12"/>
      <c r="L4208" s="12"/>
      <c r="M4208" s="11"/>
      <c r="N4208" s="11"/>
      <c r="O4208" s="11"/>
      <c r="P4208" s="11"/>
    </row>
    <row r="4209" spans="8:16" x14ac:dyDescent="0.25">
      <c r="H4209" s="12"/>
      <c r="I4209" s="12"/>
      <c r="J4209" s="12"/>
      <c r="K4209" s="12"/>
      <c r="L4209" s="12"/>
      <c r="M4209" s="11"/>
      <c r="N4209" s="11"/>
      <c r="O4209" s="11"/>
      <c r="P4209" s="11"/>
    </row>
    <row r="4210" spans="8:16" x14ac:dyDescent="0.25">
      <c r="H4210" s="12"/>
      <c r="I4210" s="12"/>
      <c r="J4210" s="12"/>
      <c r="K4210" s="12"/>
      <c r="L4210" s="12"/>
      <c r="M4210" s="11"/>
      <c r="N4210" s="11"/>
      <c r="O4210" s="11"/>
      <c r="P4210" s="11"/>
    </row>
    <row r="4211" spans="8:16" x14ac:dyDescent="0.25">
      <c r="H4211" s="12"/>
      <c r="I4211" s="12"/>
      <c r="J4211" s="12"/>
      <c r="K4211" s="12"/>
      <c r="L4211" s="12"/>
      <c r="M4211" s="11"/>
      <c r="N4211" s="11"/>
      <c r="O4211" s="11"/>
      <c r="P4211" s="11"/>
    </row>
    <row r="4212" spans="8:16" x14ac:dyDescent="0.25">
      <c r="H4212" s="12"/>
      <c r="I4212" s="12"/>
      <c r="J4212" s="12"/>
      <c r="K4212" s="12"/>
      <c r="L4212" s="12"/>
      <c r="M4212" s="11"/>
      <c r="N4212" s="11"/>
      <c r="O4212" s="11"/>
      <c r="P4212" s="11"/>
    </row>
    <row r="4213" spans="8:16" x14ac:dyDescent="0.25">
      <c r="H4213" s="12"/>
      <c r="I4213" s="12"/>
      <c r="J4213" s="12"/>
      <c r="K4213" s="12"/>
      <c r="L4213" s="12"/>
      <c r="M4213" s="11"/>
      <c r="N4213" s="11"/>
      <c r="O4213" s="11"/>
      <c r="P4213" s="11"/>
    </row>
    <row r="4214" spans="8:16" x14ac:dyDescent="0.25">
      <c r="H4214" s="12"/>
      <c r="I4214" s="12"/>
      <c r="J4214" s="12"/>
      <c r="K4214" s="12"/>
      <c r="L4214" s="12"/>
      <c r="M4214" s="11"/>
      <c r="N4214" s="11"/>
      <c r="O4214" s="11"/>
      <c r="P4214" s="11"/>
    </row>
    <row r="4215" spans="8:16" x14ac:dyDescent="0.25">
      <c r="H4215" s="12"/>
      <c r="I4215" s="12"/>
      <c r="J4215" s="12"/>
      <c r="K4215" s="12"/>
      <c r="L4215" s="12"/>
      <c r="M4215" s="11"/>
      <c r="N4215" s="11"/>
      <c r="O4215" s="11"/>
      <c r="P4215" s="11"/>
    </row>
    <row r="4216" spans="8:16" x14ac:dyDescent="0.25">
      <c r="H4216" s="12"/>
      <c r="I4216" s="12"/>
      <c r="J4216" s="12"/>
      <c r="K4216" s="12"/>
      <c r="L4216" s="12"/>
      <c r="M4216" s="11"/>
      <c r="N4216" s="11"/>
      <c r="O4216" s="11"/>
      <c r="P4216" s="11"/>
    </row>
    <row r="4217" spans="8:16" x14ac:dyDescent="0.25">
      <c r="H4217" s="12"/>
      <c r="I4217" s="12"/>
      <c r="J4217" s="12"/>
      <c r="K4217" s="12"/>
      <c r="L4217" s="12"/>
      <c r="M4217" s="11"/>
      <c r="N4217" s="11"/>
      <c r="O4217" s="11"/>
      <c r="P4217" s="11"/>
    </row>
    <row r="4218" spans="8:16" x14ac:dyDescent="0.25">
      <c r="H4218" s="12"/>
      <c r="I4218" s="12"/>
      <c r="J4218" s="12"/>
      <c r="K4218" s="12"/>
      <c r="L4218" s="12"/>
      <c r="M4218" s="11"/>
      <c r="N4218" s="11"/>
      <c r="O4218" s="11"/>
      <c r="P4218" s="11"/>
    </row>
    <row r="4219" spans="8:16" x14ac:dyDescent="0.25">
      <c r="H4219" s="12"/>
      <c r="I4219" s="12"/>
      <c r="J4219" s="12"/>
      <c r="K4219" s="12"/>
      <c r="L4219" s="12"/>
      <c r="M4219" s="11"/>
      <c r="N4219" s="11"/>
      <c r="O4219" s="11"/>
      <c r="P4219" s="11"/>
    </row>
    <row r="4220" spans="8:16" x14ac:dyDescent="0.25">
      <c r="H4220" s="12"/>
      <c r="I4220" s="12"/>
      <c r="J4220" s="12"/>
      <c r="K4220" s="12"/>
      <c r="L4220" s="12"/>
      <c r="M4220" s="11"/>
      <c r="N4220" s="11"/>
      <c r="O4220" s="11"/>
      <c r="P4220" s="11"/>
    </row>
    <row r="4221" spans="8:16" x14ac:dyDescent="0.25">
      <c r="H4221" s="12"/>
      <c r="I4221" s="12"/>
      <c r="J4221" s="12"/>
      <c r="K4221" s="12"/>
      <c r="L4221" s="12"/>
      <c r="M4221" s="11"/>
      <c r="N4221" s="11"/>
      <c r="O4221" s="11"/>
      <c r="P4221" s="11"/>
    </row>
    <row r="4222" spans="8:16" x14ac:dyDescent="0.25">
      <c r="H4222" s="12"/>
      <c r="I4222" s="12"/>
      <c r="J4222" s="12"/>
      <c r="K4222" s="12"/>
      <c r="L4222" s="12"/>
      <c r="M4222" s="11"/>
      <c r="N4222" s="11"/>
      <c r="O4222" s="11"/>
      <c r="P4222" s="11"/>
    </row>
    <row r="4223" spans="8:16" x14ac:dyDescent="0.25">
      <c r="H4223" s="12"/>
      <c r="I4223" s="12"/>
      <c r="J4223" s="12"/>
      <c r="K4223" s="12"/>
      <c r="L4223" s="12"/>
      <c r="M4223" s="11"/>
      <c r="N4223" s="11"/>
      <c r="O4223" s="11"/>
      <c r="P4223" s="11"/>
    </row>
    <row r="4224" spans="8:16" x14ac:dyDescent="0.25">
      <c r="H4224" s="12"/>
      <c r="I4224" s="12"/>
      <c r="J4224" s="12"/>
      <c r="K4224" s="12"/>
      <c r="L4224" s="12"/>
      <c r="M4224" s="11"/>
      <c r="N4224" s="11"/>
      <c r="O4224" s="11"/>
      <c r="P4224" s="11"/>
    </row>
    <row r="4225" spans="8:16" x14ac:dyDescent="0.25">
      <c r="H4225" s="12"/>
      <c r="I4225" s="12"/>
      <c r="J4225" s="12"/>
      <c r="K4225" s="12"/>
      <c r="L4225" s="12"/>
      <c r="M4225" s="11"/>
      <c r="N4225" s="11"/>
      <c r="O4225" s="11"/>
      <c r="P4225" s="11"/>
    </row>
    <row r="4226" spans="8:16" x14ac:dyDescent="0.25">
      <c r="H4226" s="12"/>
      <c r="I4226" s="12"/>
      <c r="J4226" s="12"/>
      <c r="K4226" s="12"/>
      <c r="L4226" s="12"/>
      <c r="M4226" s="11"/>
      <c r="N4226" s="11"/>
      <c r="O4226" s="11"/>
      <c r="P4226" s="11"/>
    </row>
    <row r="4227" spans="8:16" x14ac:dyDescent="0.25">
      <c r="H4227" s="12"/>
      <c r="I4227" s="12"/>
      <c r="J4227" s="12"/>
      <c r="K4227" s="12"/>
      <c r="L4227" s="12"/>
      <c r="M4227" s="11"/>
      <c r="N4227" s="11"/>
      <c r="O4227" s="11"/>
      <c r="P4227" s="11"/>
    </row>
    <row r="4228" spans="8:16" x14ac:dyDescent="0.25">
      <c r="H4228" s="12"/>
      <c r="I4228" s="12"/>
      <c r="J4228" s="12"/>
      <c r="K4228" s="12"/>
      <c r="L4228" s="12"/>
      <c r="M4228" s="11"/>
      <c r="N4228" s="11"/>
      <c r="O4228" s="11"/>
      <c r="P4228" s="11"/>
    </row>
    <row r="4229" spans="8:16" x14ac:dyDescent="0.25">
      <c r="H4229" s="12"/>
      <c r="I4229" s="12"/>
      <c r="J4229" s="12"/>
      <c r="K4229" s="12"/>
      <c r="L4229" s="12"/>
      <c r="M4229" s="11"/>
      <c r="N4229" s="11"/>
      <c r="O4229" s="11"/>
      <c r="P4229" s="11"/>
    </row>
    <row r="4230" spans="8:16" x14ac:dyDescent="0.25">
      <c r="H4230" s="12"/>
      <c r="I4230" s="12"/>
      <c r="J4230" s="12"/>
      <c r="K4230" s="12"/>
      <c r="L4230" s="12"/>
      <c r="M4230" s="11"/>
      <c r="N4230" s="11"/>
      <c r="O4230" s="11"/>
      <c r="P4230" s="11"/>
    </row>
    <row r="4231" spans="8:16" x14ac:dyDescent="0.25">
      <c r="H4231" s="12"/>
      <c r="I4231" s="12"/>
      <c r="J4231" s="12"/>
      <c r="K4231" s="12"/>
      <c r="L4231" s="12"/>
      <c r="M4231" s="11"/>
      <c r="N4231" s="11"/>
      <c r="O4231" s="11"/>
      <c r="P4231" s="11"/>
    </row>
    <row r="4232" spans="8:16" x14ac:dyDescent="0.25">
      <c r="H4232" s="12"/>
      <c r="I4232" s="12"/>
      <c r="J4232" s="12"/>
      <c r="K4232" s="12"/>
      <c r="L4232" s="12"/>
      <c r="M4232" s="11"/>
      <c r="N4232" s="11"/>
      <c r="O4232" s="11"/>
      <c r="P4232" s="11"/>
    </row>
    <row r="4233" spans="8:16" x14ac:dyDescent="0.25">
      <c r="H4233" s="12"/>
      <c r="I4233" s="12"/>
      <c r="J4233" s="12"/>
      <c r="K4233" s="12"/>
      <c r="L4233" s="12"/>
      <c r="M4233" s="11"/>
      <c r="N4233" s="11"/>
      <c r="O4233" s="11"/>
      <c r="P4233" s="11"/>
    </row>
    <row r="4234" spans="8:16" x14ac:dyDescent="0.25">
      <c r="H4234" s="12"/>
      <c r="I4234" s="12"/>
      <c r="J4234" s="12"/>
      <c r="K4234" s="12"/>
      <c r="L4234" s="12"/>
      <c r="M4234" s="11"/>
      <c r="N4234" s="11"/>
      <c r="O4234" s="11"/>
      <c r="P4234" s="11"/>
    </row>
    <row r="4235" spans="8:16" x14ac:dyDescent="0.25">
      <c r="H4235" s="12"/>
      <c r="I4235" s="12"/>
      <c r="J4235" s="12"/>
      <c r="K4235" s="12"/>
      <c r="L4235" s="12"/>
      <c r="M4235" s="11"/>
      <c r="N4235" s="11"/>
      <c r="O4235" s="11"/>
      <c r="P4235" s="11"/>
    </row>
    <row r="4236" spans="8:16" x14ac:dyDescent="0.25">
      <c r="H4236" s="12"/>
      <c r="I4236" s="12"/>
      <c r="J4236" s="12"/>
      <c r="K4236" s="12"/>
      <c r="L4236" s="12"/>
      <c r="M4236" s="11"/>
      <c r="N4236" s="11"/>
      <c r="O4236" s="11"/>
      <c r="P4236" s="11"/>
    </row>
    <row r="4237" spans="8:16" x14ac:dyDescent="0.25">
      <c r="H4237" s="12"/>
      <c r="I4237" s="12"/>
      <c r="J4237" s="12"/>
      <c r="K4237" s="12"/>
      <c r="L4237" s="12"/>
      <c r="M4237" s="11"/>
      <c r="N4237" s="11"/>
      <c r="O4237" s="11"/>
      <c r="P4237" s="11"/>
    </row>
    <row r="4238" spans="8:16" x14ac:dyDescent="0.25">
      <c r="H4238" s="12"/>
      <c r="I4238" s="12"/>
      <c r="J4238" s="12"/>
      <c r="K4238" s="12"/>
      <c r="L4238" s="12"/>
      <c r="M4238" s="11"/>
      <c r="N4238" s="11"/>
      <c r="O4238" s="11"/>
      <c r="P4238" s="11"/>
    </row>
    <row r="4239" spans="8:16" x14ac:dyDescent="0.25">
      <c r="H4239" s="12"/>
      <c r="I4239" s="12"/>
      <c r="J4239" s="12"/>
      <c r="K4239" s="12"/>
      <c r="L4239" s="12"/>
      <c r="M4239" s="11"/>
      <c r="N4239" s="11"/>
      <c r="O4239" s="11"/>
      <c r="P4239" s="11"/>
    </row>
    <row r="4240" spans="8:16" x14ac:dyDescent="0.25">
      <c r="H4240" s="12"/>
      <c r="I4240" s="12"/>
      <c r="J4240" s="12"/>
      <c r="K4240" s="12"/>
      <c r="L4240" s="12"/>
      <c r="M4240" s="11"/>
      <c r="N4240" s="11"/>
      <c r="O4240" s="11"/>
      <c r="P4240" s="11"/>
    </row>
    <row r="4241" spans="8:16" x14ac:dyDescent="0.25">
      <c r="H4241" s="12"/>
      <c r="I4241" s="12"/>
      <c r="J4241" s="12"/>
      <c r="K4241" s="12"/>
      <c r="L4241" s="12"/>
      <c r="M4241" s="11"/>
      <c r="N4241" s="11"/>
      <c r="O4241" s="11"/>
      <c r="P4241" s="11"/>
    </row>
    <row r="4242" spans="8:16" x14ac:dyDescent="0.25">
      <c r="H4242" s="12"/>
      <c r="I4242" s="12"/>
      <c r="J4242" s="12"/>
      <c r="K4242" s="12"/>
      <c r="L4242" s="12"/>
      <c r="M4242" s="11"/>
      <c r="N4242" s="11"/>
      <c r="O4242" s="11"/>
      <c r="P4242" s="11"/>
    </row>
    <row r="4243" spans="8:16" x14ac:dyDescent="0.25">
      <c r="H4243" s="12"/>
      <c r="I4243" s="12"/>
      <c r="J4243" s="12"/>
      <c r="K4243" s="12"/>
      <c r="L4243" s="12"/>
      <c r="M4243" s="11"/>
      <c r="N4243" s="11"/>
      <c r="O4243" s="11"/>
      <c r="P4243" s="11"/>
    </row>
    <row r="4244" spans="8:16" x14ac:dyDescent="0.25">
      <c r="H4244" s="12"/>
      <c r="I4244" s="12"/>
      <c r="J4244" s="12"/>
      <c r="K4244" s="12"/>
      <c r="L4244" s="12"/>
      <c r="M4244" s="11"/>
      <c r="N4244" s="11"/>
      <c r="O4244" s="11"/>
      <c r="P4244" s="11"/>
    </row>
    <row r="4245" spans="8:16" x14ac:dyDescent="0.25">
      <c r="H4245" s="12"/>
      <c r="I4245" s="12"/>
      <c r="J4245" s="12"/>
      <c r="K4245" s="12"/>
      <c r="L4245" s="12"/>
      <c r="M4245" s="11"/>
      <c r="N4245" s="11"/>
      <c r="O4245" s="11"/>
      <c r="P4245" s="11"/>
    </row>
    <row r="4246" spans="8:16" x14ac:dyDescent="0.25">
      <c r="H4246" s="12"/>
      <c r="I4246" s="12"/>
      <c r="J4246" s="12"/>
      <c r="K4246" s="12"/>
      <c r="L4246" s="12"/>
      <c r="M4246" s="11"/>
      <c r="N4246" s="11"/>
      <c r="O4246" s="11"/>
      <c r="P4246" s="11"/>
    </row>
    <row r="4247" spans="8:16" x14ac:dyDescent="0.25">
      <c r="H4247" s="12"/>
      <c r="I4247" s="12"/>
      <c r="J4247" s="12"/>
      <c r="K4247" s="12"/>
      <c r="L4247" s="12"/>
      <c r="M4247" s="11"/>
      <c r="N4247" s="11"/>
      <c r="O4247" s="11"/>
      <c r="P4247" s="11"/>
    </row>
    <row r="4248" spans="8:16" x14ac:dyDescent="0.25">
      <c r="H4248" s="12"/>
      <c r="I4248" s="12"/>
      <c r="J4248" s="12"/>
      <c r="K4248" s="12"/>
      <c r="L4248" s="12"/>
      <c r="M4248" s="11"/>
      <c r="N4248" s="11"/>
      <c r="O4248" s="11"/>
      <c r="P4248" s="11"/>
    </row>
    <row r="4249" spans="8:16" x14ac:dyDescent="0.25">
      <c r="H4249" s="12"/>
      <c r="I4249" s="12"/>
      <c r="J4249" s="12"/>
      <c r="K4249" s="12"/>
      <c r="L4249" s="12"/>
      <c r="M4249" s="11"/>
      <c r="N4249" s="11"/>
      <c r="O4249" s="11"/>
      <c r="P4249" s="11"/>
    </row>
    <row r="4250" spans="8:16" x14ac:dyDescent="0.25">
      <c r="H4250" s="12"/>
      <c r="I4250" s="12"/>
      <c r="J4250" s="12"/>
      <c r="K4250" s="12"/>
      <c r="L4250" s="12"/>
      <c r="M4250" s="11"/>
      <c r="N4250" s="11"/>
      <c r="O4250" s="11"/>
      <c r="P4250" s="11"/>
    </row>
    <row r="4251" spans="8:16" x14ac:dyDescent="0.25">
      <c r="H4251" s="12"/>
      <c r="I4251" s="12"/>
      <c r="J4251" s="12"/>
      <c r="K4251" s="12"/>
      <c r="L4251" s="12"/>
      <c r="M4251" s="11"/>
      <c r="N4251" s="11"/>
      <c r="O4251" s="11"/>
      <c r="P4251" s="11"/>
    </row>
    <row r="4252" spans="8:16" x14ac:dyDescent="0.25">
      <c r="H4252" s="12"/>
      <c r="I4252" s="12"/>
      <c r="J4252" s="12"/>
      <c r="K4252" s="12"/>
      <c r="L4252" s="12"/>
      <c r="M4252" s="11"/>
      <c r="N4252" s="11"/>
      <c r="O4252" s="11"/>
      <c r="P4252" s="11"/>
    </row>
    <row r="4253" spans="8:16" x14ac:dyDescent="0.25">
      <c r="H4253" s="12"/>
      <c r="I4253" s="12"/>
      <c r="J4253" s="12"/>
      <c r="K4253" s="12"/>
      <c r="L4253" s="12"/>
      <c r="M4253" s="11"/>
      <c r="N4253" s="11"/>
      <c r="O4253" s="11"/>
      <c r="P4253" s="11"/>
    </row>
    <row r="4254" spans="8:16" x14ac:dyDescent="0.25">
      <c r="H4254" s="12"/>
      <c r="I4254" s="12"/>
      <c r="J4254" s="12"/>
      <c r="K4254" s="12"/>
      <c r="L4254" s="12"/>
      <c r="M4254" s="11"/>
      <c r="N4254" s="11"/>
      <c r="O4254" s="11"/>
      <c r="P4254" s="11"/>
    </row>
    <row r="4255" spans="8:16" x14ac:dyDescent="0.25">
      <c r="H4255" s="12"/>
      <c r="I4255" s="12"/>
      <c r="J4255" s="12"/>
      <c r="K4255" s="12"/>
      <c r="L4255" s="12"/>
      <c r="M4255" s="11"/>
      <c r="N4255" s="11"/>
      <c r="O4255" s="11"/>
      <c r="P4255" s="11"/>
    </row>
    <row r="4256" spans="8:16" x14ac:dyDescent="0.25">
      <c r="H4256" s="12"/>
      <c r="I4256" s="12"/>
      <c r="J4256" s="12"/>
      <c r="K4256" s="12"/>
      <c r="L4256" s="12"/>
      <c r="M4256" s="11"/>
      <c r="N4256" s="11"/>
      <c r="O4256" s="11"/>
      <c r="P4256" s="11"/>
    </row>
    <row r="4257" spans="8:16" x14ac:dyDescent="0.25">
      <c r="H4257" s="12"/>
      <c r="I4257" s="12"/>
      <c r="J4257" s="12"/>
      <c r="K4257" s="12"/>
      <c r="L4257" s="12"/>
      <c r="M4257" s="11"/>
      <c r="N4257" s="11"/>
      <c r="O4257" s="11"/>
      <c r="P4257" s="11"/>
    </row>
    <row r="4258" spans="8:16" x14ac:dyDescent="0.25">
      <c r="H4258" s="12"/>
      <c r="I4258" s="12"/>
      <c r="J4258" s="12"/>
      <c r="K4258" s="12"/>
      <c r="L4258" s="12"/>
      <c r="M4258" s="11"/>
      <c r="N4258" s="11"/>
      <c r="O4258" s="11"/>
      <c r="P4258" s="11"/>
    </row>
    <row r="4259" spans="8:16" x14ac:dyDescent="0.25">
      <c r="H4259" s="12"/>
      <c r="I4259" s="12"/>
      <c r="J4259" s="12"/>
      <c r="K4259" s="12"/>
      <c r="L4259" s="12"/>
      <c r="M4259" s="11"/>
      <c r="N4259" s="11"/>
      <c r="O4259" s="11"/>
      <c r="P4259" s="11"/>
    </row>
    <row r="4260" spans="8:16" x14ac:dyDescent="0.25">
      <c r="H4260" s="12"/>
      <c r="I4260" s="12"/>
      <c r="J4260" s="12"/>
      <c r="K4260" s="12"/>
      <c r="L4260" s="12"/>
      <c r="M4260" s="11"/>
      <c r="N4260" s="11"/>
      <c r="O4260" s="11"/>
      <c r="P4260" s="11"/>
    </row>
    <row r="4261" spans="8:16" x14ac:dyDescent="0.25">
      <c r="H4261" s="12"/>
      <c r="I4261" s="12"/>
      <c r="J4261" s="12"/>
      <c r="K4261" s="12"/>
      <c r="L4261" s="12"/>
      <c r="M4261" s="11"/>
      <c r="N4261" s="11"/>
      <c r="O4261" s="11"/>
      <c r="P4261" s="11"/>
    </row>
    <row r="4262" spans="8:16" x14ac:dyDescent="0.25">
      <c r="H4262" s="12"/>
      <c r="I4262" s="12"/>
      <c r="J4262" s="12"/>
      <c r="K4262" s="12"/>
      <c r="L4262" s="12"/>
      <c r="M4262" s="11"/>
      <c r="N4262" s="11"/>
      <c r="O4262" s="11"/>
      <c r="P4262" s="11"/>
    </row>
    <row r="4263" spans="8:16" x14ac:dyDescent="0.25">
      <c r="H4263" s="12"/>
      <c r="I4263" s="12"/>
      <c r="J4263" s="12"/>
      <c r="K4263" s="12"/>
      <c r="L4263" s="12"/>
      <c r="M4263" s="11"/>
      <c r="N4263" s="11"/>
      <c r="O4263" s="11"/>
      <c r="P4263" s="11"/>
    </row>
    <row r="4264" spans="8:16" x14ac:dyDescent="0.25">
      <c r="H4264" s="12"/>
      <c r="I4264" s="12"/>
      <c r="J4264" s="12"/>
      <c r="K4264" s="12"/>
      <c r="L4264" s="12"/>
      <c r="M4264" s="11"/>
      <c r="N4264" s="11"/>
      <c r="O4264" s="11"/>
      <c r="P4264" s="11"/>
    </row>
    <row r="4265" spans="8:16" x14ac:dyDescent="0.25">
      <c r="H4265" s="12"/>
      <c r="I4265" s="12"/>
      <c r="J4265" s="12"/>
      <c r="K4265" s="12"/>
      <c r="L4265" s="12"/>
      <c r="M4265" s="11"/>
      <c r="N4265" s="11"/>
      <c r="O4265" s="11"/>
      <c r="P4265" s="11"/>
    </row>
    <row r="4266" spans="8:16" x14ac:dyDescent="0.25">
      <c r="H4266" s="12"/>
      <c r="I4266" s="12"/>
      <c r="J4266" s="12"/>
      <c r="K4266" s="12"/>
      <c r="L4266" s="12"/>
      <c r="M4266" s="11"/>
      <c r="N4266" s="11"/>
      <c r="O4266" s="11"/>
      <c r="P4266" s="11"/>
    </row>
    <row r="4267" spans="8:16" x14ac:dyDescent="0.25">
      <c r="H4267" s="12"/>
      <c r="I4267" s="12"/>
      <c r="J4267" s="12"/>
      <c r="K4267" s="12"/>
      <c r="L4267" s="12"/>
      <c r="M4267" s="11"/>
      <c r="N4267" s="11"/>
      <c r="O4267" s="11"/>
      <c r="P4267" s="11"/>
    </row>
    <row r="4268" spans="8:16" x14ac:dyDescent="0.25">
      <c r="H4268" s="12"/>
      <c r="I4268" s="12"/>
      <c r="J4268" s="12"/>
      <c r="K4268" s="12"/>
      <c r="L4268" s="12"/>
      <c r="M4268" s="11"/>
      <c r="N4268" s="11"/>
      <c r="O4268" s="11"/>
      <c r="P4268" s="11"/>
    </row>
    <row r="4269" spans="8:16" x14ac:dyDescent="0.25">
      <c r="H4269" s="12"/>
      <c r="I4269" s="12"/>
      <c r="J4269" s="12"/>
      <c r="K4269" s="12"/>
      <c r="L4269" s="12"/>
      <c r="M4269" s="11"/>
      <c r="N4269" s="11"/>
      <c r="O4269" s="11"/>
      <c r="P4269" s="11"/>
    </row>
    <row r="4270" spans="8:16" x14ac:dyDescent="0.25">
      <c r="H4270" s="12"/>
      <c r="I4270" s="12"/>
      <c r="J4270" s="12"/>
      <c r="K4270" s="12"/>
      <c r="L4270" s="12"/>
      <c r="M4270" s="11"/>
      <c r="N4270" s="11"/>
      <c r="O4270" s="11"/>
      <c r="P4270" s="11"/>
    </row>
    <row r="4271" spans="8:16" x14ac:dyDescent="0.25">
      <c r="H4271" s="12"/>
      <c r="I4271" s="12"/>
      <c r="J4271" s="12"/>
      <c r="K4271" s="12"/>
      <c r="L4271" s="12"/>
      <c r="M4271" s="11"/>
      <c r="N4271" s="11"/>
      <c r="O4271" s="11"/>
      <c r="P4271" s="11"/>
    </row>
    <row r="4272" spans="8:16" x14ac:dyDescent="0.25">
      <c r="H4272" s="12"/>
      <c r="I4272" s="12"/>
      <c r="J4272" s="12"/>
      <c r="K4272" s="12"/>
      <c r="L4272" s="12"/>
      <c r="M4272" s="11"/>
      <c r="N4272" s="11"/>
      <c r="O4272" s="11"/>
      <c r="P4272" s="11"/>
    </row>
    <row r="4273" spans="8:16" x14ac:dyDescent="0.25">
      <c r="H4273" s="12"/>
      <c r="I4273" s="12"/>
      <c r="J4273" s="12"/>
      <c r="K4273" s="12"/>
      <c r="L4273" s="12"/>
      <c r="M4273" s="11"/>
      <c r="N4273" s="11"/>
      <c r="O4273" s="11"/>
      <c r="P4273" s="11"/>
    </row>
    <row r="4274" spans="8:16" x14ac:dyDescent="0.25">
      <c r="H4274" s="12"/>
      <c r="I4274" s="12"/>
      <c r="J4274" s="12"/>
      <c r="K4274" s="12"/>
      <c r="L4274" s="12"/>
      <c r="M4274" s="11"/>
      <c r="N4274" s="11"/>
      <c r="O4274" s="11"/>
      <c r="P4274" s="11"/>
    </row>
    <row r="4275" spans="8:16" x14ac:dyDescent="0.25">
      <c r="H4275" s="12"/>
      <c r="I4275" s="12"/>
      <c r="J4275" s="12"/>
      <c r="K4275" s="12"/>
      <c r="L4275" s="12"/>
      <c r="M4275" s="11"/>
      <c r="N4275" s="11"/>
      <c r="O4275" s="11"/>
      <c r="P4275" s="11"/>
    </row>
    <row r="4276" spans="8:16" x14ac:dyDescent="0.25">
      <c r="H4276" s="12"/>
      <c r="I4276" s="12"/>
      <c r="J4276" s="12"/>
      <c r="K4276" s="12"/>
      <c r="L4276" s="12"/>
      <c r="M4276" s="11"/>
      <c r="N4276" s="11"/>
      <c r="O4276" s="11"/>
      <c r="P4276" s="11"/>
    </row>
    <row r="4277" spans="8:16" x14ac:dyDescent="0.25">
      <c r="H4277" s="12"/>
      <c r="I4277" s="12"/>
      <c r="J4277" s="12"/>
      <c r="K4277" s="12"/>
      <c r="L4277" s="12"/>
      <c r="M4277" s="11"/>
      <c r="N4277" s="11"/>
      <c r="O4277" s="11"/>
      <c r="P4277" s="11"/>
    </row>
    <row r="4278" spans="8:16" x14ac:dyDescent="0.25">
      <c r="H4278" s="12"/>
      <c r="I4278" s="12"/>
      <c r="J4278" s="12"/>
      <c r="K4278" s="12"/>
      <c r="L4278" s="12"/>
      <c r="M4278" s="11"/>
      <c r="N4278" s="11"/>
      <c r="O4278" s="11"/>
      <c r="P4278" s="11"/>
    </row>
    <row r="4279" spans="8:16" x14ac:dyDescent="0.25">
      <c r="H4279" s="12"/>
      <c r="I4279" s="12"/>
      <c r="J4279" s="12"/>
      <c r="K4279" s="12"/>
      <c r="L4279" s="12"/>
      <c r="M4279" s="11"/>
      <c r="N4279" s="11"/>
      <c r="O4279" s="11"/>
      <c r="P4279" s="11"/>
    </row>
    <row r="4280" spans="8:16" x14ac:dyDescent="0.25">
      <c r="H4280" s="12"/>
      <c r="I4280" s="12"/>
      <c r="J4280" s="12"/>
      <c r="K4280" s="12"/>
      <c r="L4280" s="12"/>
      <c r="M4280" s="11"/>
      <c r="N4280" s="11"/>
      <c r="O4280" s="11"/>
      <c r="P4280" s="11"/>
    </row>
    <row r="4281" spans="8:16" x14ac:dyDescent="0.25">
      <c r="H4281" s="12"/>
      <c r="I4281" s="12"/>
      <c r="J4281" s="12"/>
      <c r="K4281" s="12"/>
      <c r="L4281" s="12"/>
      <c r="M4281" s="11"/>
      <c r="N4281" s="11"/>
      <c r="O4281" s="11"/>
      <c r="P4281" s="11"/>
    </row>
    <row r="4282" spans="8:16" x14ac:dyDescent="0.25">
      <c r="H4282" s="12"/>
      <c r="I4282" s="12"/>
      <c r="J4282" s="12"/>
      <c r="K4282" s="12"/>
      <c r="L4282" s="12"/>
      <c r="M4282" s="11"/>
      <c r="N4282" s="11"/>
      <c r="O4282" s="11"/>
      <c r="P4282" s="11"/>
    </row>
    <row r="4283" spans="8:16" x14ac:dyDescent="0.25">
      <c r="H4283" s="12"/>
      <c r="I4283" s="12"/>
      <c r="J4283" s="12"/>
      <c r="K4283" s="12"/>
      <c r="L4283" s="12"/>
      <c r="M4283" s="11"/>
      <c r="N4283" s="11"/>
      <c r="O4283" s="11"/>
      <c r="P4283" s="11"/>
    </row>
    <row r="4284" spans="8:16" x14ac:dyDescent="0.25">
      <c r="H4284" s="12"/>
      <c r="I4284" s="12"/>
      <c r="J4284" s="12"/>
      <c r="K4284" s="12"/>
      <c r="L4284" s="12"/>
      <c r="M4284" s="11"/>
      <c r="N4284" s="11"/>
      <c r="O4284" s="11"/>
      <c r="P4284" s="11"/>
    </row>
    <row r="4285" spans="8:16" x14ac:dyDescent="0.25">
      <c r="H4285" s="12"/>
      <c r="I4285" s="12"/>
      <c r="J4285" s="12"/>
      <c r="K4285" s="12"/>
      <c r="L4285" s="12"/>
      <c r="M4285" s="11"/>
      <c r="N4285" s="11"/>
      <c r="O4285" s="11"/>
      <c r="P4285" s="11"/>
    </row>
    <row r="4286" spans="8:16" x14ac:dyDescent="0.25">
      <c r="H4286" s="12"/>
      <c r="I4286" s="12"/>
      <c r="J4286" s="12"/>
      <c r="K4286" s="12"/>
      <c r="L4286" s="12"/>
      <c r="M4286" s="11"/>
      <c r="N4286" s="11"/>
      <c r="O4286" s="11"/>
      <c r="P4286" s="11"/>
    </row>
    <row r="4287" spans="8:16" x14ac:dyDescent="0.25">
      <c r="H4287" s="12"/>
      <c r="I4287" s="12"/>
      <c r="J4287" s="12"/>
      <c r="K4287" s="12"/>
      <c r="L4287" s="12"/>
      <c r="M4287" s="11"/>
      <c r="N4287" s="11"/>
      <c r="O4287" s="11"/>
      <c r="P4287" s="11"/>
    </row>
    <row r="4288" spans="8:16" x14ac:dyDescent="0.25">
      <c r="H4288" s="12"/>
      <c r="I4288" s="12"/>
      <c r="J4288" s="12"/>
      <c r="K4288" s="12"/>
      <c r="L4288" s="12"/>
      <c r="M4288" s="11"/>
      <c r="N4288" s="11"/>
      <c r="O4288" s="11"/>
      <c r="P4288" s="11"/>
    </row>
    <row r="4289" spans="8:16" x14ac:dyDescent="0.25">
      <c r="H4289" s="12"/>
      <c r="I4289" s="12"/>
      <c r="J4289" s="12"/>
      <c r="K4289" s="12"/>
      <c r="L4289" s="12"/>
      <c r="M4289" s="11"/>
      <c r="N4289" s="11"/>
      <c r="O4289" s="11"/>
      <c r="P4289" s="11"/>
    </row>
    <row r="4290" spans="8:16" x14ac:dyDescent="0.25">
      <c r="H4290" s="12"/>
      <c r="I4290" s="12"/>
      <c r="J4290" s="12"/>
      <c r="K4290" s="12"/>
      <c r="L4290" s="12"/>
      <c r="M4290" s="11"/>
      <c r="N4290" s="11"/>
      <c r="O4290" s="11"/>
      <c r="P4290" s="11"/>
    </row>
    <row r="4291" spans="8:16" x14ac:dyDescent="0.25">
      <c r="H4291" s="12"/>
      <c r="I4291" s="12"/>
      <c r="J4291" s="12"/>
      <c r="K4291" s="12"/>
      <c r="L4291" s="12"/>
      <c r="M4291" s="11"/>
      <c r="N4291" s="11"/>
      <c r="O4291" s="11"/>
      <c r="P4291" s="11"/>
    </row>
    <row r="4292" spans="8:16" x14ac:dyDescent="0.25">
      <c r="H4292" s="12"/>
      <c r="I4292" s="12"/>
      <c r="J4292" s="12"/>
      <c r="K4292" s="12"/>
      <c r="L4292" s="12"/>
      <c r="M4292" s="11"/>
      <c r="N4292" s="11"/>
      <c r="O4292" s="11"/>
      <c r="P4292" s="11"/>
    </row>
    <row r="4293" spans="8:16" x14ac:dyDescent="0.25">
      <c r="H4293" s="12"/>
      <c r="I4293" s="12"/>
      <c r="J4293" s="12"/>
      <c r="K4293" s="12"/>
      <c r="L4293" s="12"/>
      <c r="M4293" s="11"/>
      <c r="N4293" s="11"/>
      <c r="O4293" s="11"/>
      <c r="P4293" s="11"/>
    </row>
    <row r="4294" spans="8:16" x14ac:dyDescent="0.25">
      <c r="H4294" s="12"/>
      <c r="I4294" s="12"/>
      <c r="J4294" s="12"/>
      <c r="K4294" s="12"/>
      <c r="L4294" s="12"/>
      <c r="M4294" s="11"/>
      <c r="N4294" s="11"/>
      <c r="O4294" s="11"/>
      <c r="P4294" s="11"/>
    </row>
    <row r="4295" spans="8:16" x14ac:dyDescent="0.25">
      <c r="H4295" s="12"/>
      <c r="I4295" s="12"/>
      <c r="J4295" s="12"/>
      <c r="K4295" s="12"/>
      <c r="L4295" s="12"/>
      <c r="M4295" s="11"/>
      <c r="N4295" s="11"/>
      <c r="O4295" s="11"/>
      <c r="P4295" s="11"/>
    </row>
    <row r="4296" spans="8:16" x14ac:dyDescent="0.25">
      <c r="H4296" s="12"/>
      <c r="I4296" s="12"/>
      <c r="J4296" s="12"/>
      <c r="K4296" s="12"/>
      <c r="L4296" s="12"/>
      <c r="M4296" s="11"/>
      <c r="N4296" s="11"/>
      <c r="O4296" s="11"/>
      <c r="P4296" s="11"/>
    </row>
    <row r="4297" spans="8:16" x14ac:dyDescent="0.25">
      <c r="H4297" s="12"/>
      <c r="I4297" s="12"/>
      <c r="J4297" s="12"/>
      <c r="K4297" s="12"/>
      <c r="L4297" s="12"/>
      <c r="M4297" s="11"/>
      <c r="N4297" s="11"/>
      <c r="O4297" s="11"/>
      <c r="P4297" s="11"/>
    </row>
    <row r="4298" spans="8:16" x14ac:dyDescent="0.25">
      <c r="H4298" s="12"/>
      <c r="I4298" s="12"/>
      <c r="J4298" s="12"/>
      <c r="K4298" s="12"/>
      <c r="L4298" s="12"/>
      <c r="M4298" s="11"/>
      <c r="N4298" s="11"/>
      <c r="O4298" s="11"/>
      <c r="P4298" s="11"/>
    </row>
    <row r="4299" spans="8:16" x14ac:dyDescent="0.25">
      <c r="H4299" s="12"/>
      <c r="I4299" s="12"/>
      <c r="J4299" s="12"/>
      <c r="K4299" s="12"/>
      <c r="L4299" s="12"/>
      <c r="M4299" s="11"/>
      <c r="N4299" s="11"/>
      <c r="O4299" s="11"/>
      <c r="P4299" s="11"/>
    </row>
    <row r="4300" spans="8:16" x14ac:dyDescent="0.25">
      <c r="H4300" s="12"/>
      <c r="I4300" s="12"/>
      <c r="J4300" s="12"/>
      <c r="K4300" s="12"/>
      <c r="L4300" s="12"/>
      <c r="M4300" s="11"/>
      <c r="N4300" s="11"/>
      <c r="O4300" s="11"/>
      <c r="P4300" s="11"/>
    </row>
    <row r="4301" spans="8:16" x14ac:dyDescent="0.25">
      <c r="H4301" s="12"/>
      <c r="I4301" s="12"/>
      <c r="J4301" s="12"/>
      <c r="K4301" s="12"/>
      <c r="L4301" s="12"/>
      <c r="M4301" s="11"/>
      <c r="N4301" s="11"/>
      <c r="O4301" s="11"/>
      <c r="P4301" s="11"/>
    </row>
    <row r="4302" spans="8:16" x14ac:dyDescent="0.25">
      <c r="H4302" s="12"/>
      <c r="I4302" s="12"/>
      <c r="J4302" s="12"/>
      <c r="K4302" s="12"/>
      <c r="L4302" s="12"/>
      <c r="M4302" s="11"/>
      <c r="N4302" s="11"/>
      <c r="O4302" s="11"/>
      <c r="P4302" s="11"/>
    </row>
    <row r="4303" spans="8:16" x14ac:dyDescent="0.25">
      <c r="H4303" s="12"/>
      <c r="I4303" s="12"/>
      <c r="J4303" s="12"/>
      <c r="K4303" s="12"/>
      <c r="L4303" s="12"/>
      <c r="M4303" s="11"/>
      <c r="N4303" s="11"/>
      <c r="O4303" s="11"/>
      <c r="P4303" s="11"/>
    </row>
    <row r="4304" spans="8:16" x14ac:dyDescent="0.25">
      <c r="H4304" s="12"/>
      <c r="I4304" s="12"/>
      <c r="J4304" s="12"/>
      <c r="K4304" s="12"/>
      <c r="L4304" s="12"/>
      <c r="M4304" s="11"/>
      <c r="N4304" s="11"/>
      <c r="O4304" s="11"/>
      <c r="P4304" s="11"/>
    </row>
    <row r="4305" spans="8:16" x14ac:dyDescent="0.25">
      <c r="H4305" s="12"/>
      <c r="I4305" s="12"/>
      <c r="J4305" s="12"/>
      <c r="K4305" s="12"/>
      <c r="L4305" s="12"/>
      <c r="M4305" s="11"/>
      <c r="N4305" s="11"/>
      <c r="O4305" s="11"/>
      <c r="P4305" s="11"/>
    </row>
    <row r="4306" spans="8:16" x14ac:dyDescent="0.25">
      <c r="H4306" s="12"/>
      <c r="I4306" s="12"/>
      <c r="J4306" s="12"/>
      <c r="K4306" s="12"/>
      <c r="L4306" s="12"/>
      <c r="M4306" s="11"/>
      <c r="N4306" s="11"/>
      <c r="O4306" s="11"/>
      <c r="P4306" s="11"/>
    </row>
    <row r="4307" spans="8:16" x14ac:dyDescent="0.25">
      <c r="H4307" s="12"/>
      <c r="I4307" s="12"/>
      <c r="J4307" s="12"/>
      <c r="K4307" s="12"/>
      <c r="L4307" s="12"/>
      <c r="M4307" s="11"/>
      <c r="N4307" s="11"/>
      <c r="O4307" s="11"/>
      <c r="P4307" s="11"/>
    </row>
    <row r="4308" spans="8:16" x14ac:dyDescent="0.25">
      <c r="H4308" s="12"/>
      <c r="I4308" s="12"/>
      <c r="J4308" s="12"/>
      <c r="K4308" s="12"/>
      <c r="L4308" s="12"/>
      <c r="M4308" s="11"/>
      <c r="N4308" s="11"/>
      <c r="O4308" s="11"/>
      <c r="P4308" s="11"/>
    </row>
    <row r="4309" spans="8:16" x14ac:dyDescent="0.25">
      <c r="H4309" s="12"/>
      <c r="I4309" s="12"/>
      <c r="J4309" s="12"/>
      <c r="K4309" s="12"/>
      <c r="L4309" s="12"/>
      <c r="M4309" s="11"/>
      <c r="N4309" s="11"/>
      <c r="O4309" s="11"/>
      <c r="P4309" s="11"/>
    </row>
    <row r="4310" spans="8:16" x14ac:dyDescent="0.25">
      <c r="H4310" s="12"/>
      <c r="I4310" s="12"/>
      <c r="J4310" s="12"/>
      <c r="K4310" s="12"/>
      <c r="L4310" s="12"/>
      <c r="M4310" s="11"/>
      <c r="N4310" s="11"/>
      <c r="O4310" s="11"/>
      <c r="P4310" s="11"/>
    </row>
    <row r="4311" spans="8:16" x14ac:dyDescent="0.25">
      <c r="H4311" s="12"/>
      <c r="I4311" s="12"/>
      <c r="J4311" s="12"/>
      <c r="K4311" s="12"/>
      <c r="L4311" s="12"/>
      <c r="M4311" s="11"/>
      <c r="N4311" s="11"/>
      <c r="O4311" s="11"/>
      <c r="P4311" s="11"/>
    </row>
    <row r="4312" spans="8:16" x14ac:dyDescent="0.25">
      <c r="H4312" s="12"/>
      <c r="I4312" s="12"/>
      <c r="J4312" s="12"/>
      <c r="K4312" s="12"/>
      <c r="L4312" s="12"/>
      <c r="M4312" s="11"/>
      <c r="N4312" s="11"/>
      <c r="O4312" s="11"/>
      <c r="P4312" s="11"/>
    </row>
    <row r="4313" spans="8:16" x14ac:dyDescent="0.25">
      <c r="H4313" s="12"/>
      <c r="I4313" s="12"/>
      <c r="J4313" s="12"/>
      <c r="K4313" s="12"/>
      <c r="L4313" s="12"/>
      <c r="M4313" s="11"/>
      <c r="N4313" s="11"/>
      <c r="O4313" s="11"/>
      <c r="P4313" s="11"/>
    </row>
    <row r="4314" spans="8:16" x14ac:dyDescent="0.25">
      <c r="H4314" s="12"/>
      <c r="I4314" s="12"/>
      <c r="J4314" s="12"/>
      <c r="K4314" s="12"/>
      <c r="L4314" s="12"/>
      <c r="M4314" s="11"/>
      <c r="N4314" s="11"/>
      <c r="O4314" s="11"/>
      <c r="P4314" s="11"/>
    </row>
    <row r="4315" spans="8:16" x14ac:dyDescent="0.25">
      <c r="H4315" s="12"/>
      <c r="I4315" s="12"/>
      <c r="J4315" s="12"/>
      <c r="K4315" s="12"/>
      <c r="L4315" s="12"/>
      <c r="M4315" s="11"/>
      <c r="N4315" s="11"/>
      <c r="O4315" s="11"/>
      <c r="P4315" s="11"/>
    </row>
    <row r="4316" spans="8:16" x14ac:dyDescent="0.25">
      <c r="H4316" s="12"/>
      <c r="I4316" s="12"/>
      <c r="J4316" s="12"/>
      <c r="K4316" s="12"/>
      <c r="L4316" s="12"/>
      <c r="M4316" s="11"/>
      <c r="N4316" s="11"/>
      <c r="O4316" s="11"/>
      <c r="P4316" s="11"/>
    </row>
    <row r="4317" spans="8:16" x14ac:dyDescent="0.25">
      <c r="H4317" s="12"/>
      <c r="I4317" s="12"/>
      <c r="J4317" s="12"/>
      <c r="K4317" s="12"/>
      <c r="L4317" s="12"/>
      <c r="M4317" s="11"/>
      <c r="N4317" s="11"/>
      <c r="O4317" s="11"/>
      <c r="P4317" s="11"/>
    </row>
    <row r="4318" spans="8:16" x14ac:dyDescent="0.25">
      <c r="H4318" s="12"/>
      <c r="I4318" s="12"/>
      <c r="J4318" s="12"/>
      <c r="K4318" s="12"/>
      <c r="L4318" s="12"/>
      <c r="M4318" s="11"/>
      <c r="N4318" s="11"/>
      <c r="O4318" s="11"/>
      <c r="P4318" s="11"/>
    </row>
    <row r="4319" spans="8:16" x14ac:dyDescent="0.25">
      <c r="H4319" s="12"/>
      <c r="I4319" s="12"/>
      <c r="J4319" s="12"/>
      <c r="K4319" s="12"/>
      <c r="L4319" s="12"/>
      <c r="M4319" s="11"/>
      <c r="N4319" s="11"/>
      <c r="O4319" s="11"/>
      <c r="P4319" s="11"/>
    </row>
    <row r="4320" spans="8:16" x14ac:dyDescent="0.25">
      <c r="H4320" s="12"/>
      <c r="I4320" s="12"/>
      <c r="J4320" s="12"/>
      <c r="K4320" s="12"/>
      <c r="L4320" s="12"/>
      <c r="M4320" s="11"/>
      <c r="N4320" s="11"/>
      <c r="O4320" s="11"/>
      <c r="P4320" s="11"/>
    </row>
    <row r="4321" spans="8:16" x14ac:dyDescent="0.25">
      <c r="H4321" s="12"/>
      <c r="I4321" s="12"/>
      <c r="J4321" s="12"/>
      <c r="K4321" s="12"/>
      <c r="L4321" s="12"/>
      <c r="M4321" s="11"/>
      <c r="N4321" s="11"/>
      <c r="O4321" s="11"/>
      <c r="P4321" s="11"/>
    </row>
    <row r="4322" spans="8:16" x14ac:dyDescent="0.25">
      <c r="H4322" s="12"/>
      <c r="I4322" s="12"/>
      <c r="J4322" s="12"/>
      <c r="K4322" s="12"/>
      <c r="L4322" s="12"/>
      <c r="M4322" s="11"/>
      <c r="N4322" s="11"/>
      <c r="O4322" s="11"/>
      <c r="P4322" s="11"/>
    </row>
    <row r="4323" spans="8:16" x14ac:dyDescent="0.25">
      <c r="H4323" s="12"/>
      <c r="I4323" s="12"/>
      <c r="J4323" s="12"/>
      <c r="K4323" s="12"/>
      <c r="L4323" s="12"/>
      <c r="M4323" s="11"/>
      <c r="N4323" s="11"/>
      <c r="O4323" s="11"/>
      <c r="P4323" s="11"/>
    </row>
    <row r="4324" spans="8:16" x14ac:dyDescent="0.25">
      <c r="H4324" s="12"/>
      <c r="I4324" s="12"/>
      <c r="J4324" s="12"/>
      <c r="K4324" s="12"/>
      <c r="L4324" s="12"/>
      <c r="M4324" s="11"/>
      <c r="N4324" s="11"/>
      <c r="O4324" s="11"/>
      <c r="P4324" s="11"/>
    </row>
    <row r="4325" spans="8:16" x14ac:dyDescent="0.25">
      <c r="H4325" s="12"/>
      <c r="I4325" s="12"/>
      <c r="J4325" s="12"/>
      <c r="K4325" s="12"/>
      <c r="L4325" s="12"/>
      <c r="M4325" s="11"/>
      <c r="N4325" s="11"/>
      <c r="O4325" s="11"/>
      <c r="P4325" s="11"/>
    </row>
    <row r="4326" spans="8:16" x14ac:dyDescent="0.25">
      <c r="H4326" s="12"/>
      <c r="I4326" s="12"/>
      <c r="J4326" s="12"/>
      <c r="K4326" s="12"/>
      <c r="L4326" s="12"/>
      <c r="M4326" s="11"/>
      <c r="N4326" s="11"/>
      <c r="O4326" s="11"/>
      <c r="P4326" s="11"/>
    </row>
    <row r="4327" spans="8:16" x14ac:dyDescent="0.25">
      <c r="H4327" s="12"/>
      <c r="I4327" s="12"/>
      <c r="J4327" s="12"/>
      <c r="K4327" s="12"/>
      <c r="L4327" s="12"/>
      <c r="M4327" s="11"/>
      <c r="N4327" s="11"/>
      <c r="O4327" s="11"/>
      <c r="P4327" s="11"/>
    </row>
    <row r="4328" spans="8:16" x14ac:dyDescent="0.25">
      <c r="H4328" s="12"/>
      <c r="I4328" s="12"/>
      <c r="J4328" s="12"/>
      <c r="K4328" s="12"/>
      <c r="L4328" s="12"/>
      <c r="M4328" s="11"/>
      <c r="N4328" s="11"/>
      <c r="O4328" s="11"/>
      <c r="P4328" s="11"/>
    </row>
    <row r="4329" spans="8:16" x14ac:dyDescent="0.25">
      <c r="H4329" s="12"/>
      <c r="I4329" s="12"/>
      <c r="J4329" s="12"/>
      <c r="K4329" s="12"/>
      <c r="L4329" s="12"/>
      <c r="M4329" s="11"/>
      <c r="N4329" s="11"/>
      <c r="O4329" s="11"/>
      <c r="P4329" s="11"/>
    </row>
    <row r="4330" spans="8:16" x14ac:dyDescent="0.25">
      <c r="H4330" s="12"/>
      <c r="I4330" s="12"/>
      <c r="J4330" s="12"/>
      <c r="K4330" s="12"/>
      <c r="L4330" s="12"/>
      <c r="M4330" s="11"/>
      <c r="N4330" s="11"/>
      <c r="O4330" s="11"/>
      <c r="P4330" s="11"/>
    </row>
    <row r="4331" spans="8:16" x14ac:dyDescent="0.25">
      <c r="H4331" s="12"/>
      <c r="I4331" s="12"/>
      <c r="J4331" s="12"/>
      <c r="K4331" s="12"/>
      <c r="L4331" s="12"/>
      <c r="M4331" s="11"/>
      <c r="N4331" s="11"/>
      <c r="O4331" s="11"/>
      <c r="P4331" s="11"/>
    </row>
    <row r="4332" spans="8:16" x14ac:dyDescent="0.25">
      <c r="H4332" s="12"/>
      <c r="I4332" s="12"/>
      <c r="J4332" s="12"/>
      <c r="K4332" s="12"/>
      <c r="L4332" s="12"/>
      <c r="M4332" s="11"/>
      <c r="N4332" s="11"/>
      <c r="O4332" s="11"/>
      <c r="P4332" s="11"/>
    </row>
    <row r="4333" spans="8:16" x14ac:dyDescent="0.25">
      <c r="H4333" s="12"/>
      <c r="I4333" s="12"/>
      <c r="J4333" s="12"/>
      <c r="K4333" s="12"/>
      <c r="L4333" s="12"/>
      <c r="M4333" s="11"/>
      <c r="N4333" s="11"/>
      <c r="O4333" s="11"/>
      <c r="P4333" s="11"/>
    </row>
    <row r="4334" spans="8:16" x14ac:dyDescent="0.25">
      <c r="H4334" s="12"/>
      <c r="I4334" s="12"/>
      <c r="J4334" s="12"/>
      <c r="K4334" s="12"/>
      <c r="L4334" s="12"/>
      <c r="M4334" s="11"/>
      <c r="N4334" s="11"/>
      <c r="O4334" s="11"/>
      <c r="P4334" s="11"/>
    </row>
    <row r="4335" spans="8:16" x14ac:dyDescent="0.25">
      <c r="H4335" s="12"/>
      <c r="I4335" s="12"/>
      <c r="J4335" s="12"/>
      <c r="K4335" s="12"/>
      <c r="L4335" s="12"/>
      <c r="M4335" s="11"/>
      <c r="N4335" s="11"/>
      <c r="O4335" s="11"/>
      <c r="P4335" s="11"/>
    </row>
    <row r="4336" spans="8:16" x14ac:dyDescent="0.25">
      <c r="H4336" s="12"/>
      <c r="I4336" s="12"/>
      <c r="J4336" s="12"/>
      <c r="K4336" s="12"/>
      <c r="L4336" s="12"/>
      <c r="M4336" s="11"/>
      <c r="N4336" s="11"/>
      <c r="O4336" s="11"/>
      <c r="P4336" s="11"/>
    </row>
    <row r="4337" spans="8:16" x14ac:dyDescent="0.25">
      <c r="H4337" s="12"/>
      <c r="I4337" s="12"/>
      <c r="J4337" s="12"/>
      <c r="K4337" s="12"/>
      <c r="L4337" s="12"/>
      <c r="M4337" s="11"/>
      <c r="N4337" s="11"/>
      <c r="O4337" s="11"/>
      <c r="P4337" s="11"/>
    </row>
    <row r="4338" spans="8:16" x14ac:dyDescent="0.25">
      <c r="H4338" s="12"/>
      <c r="I4338" s="12"/>
      <c r="J4338" s="12"/>
      <c r="K4338" s="12"/>
      <c r="L4338" s="12"/>
      <c r="M4338" s="11"/>
      <c r="N4338" s="11"/>
      <c r="O4338" s="11"/>
      <c r="P4338" s="11"/>
    </row>
    <row r="4339" spans="8:16" x14ac:dyDescent="0.25">
      <c r="H4339" s="12"/>
      <c r="I4339" s="12"/>
      <c r="J4339" s="12"/>
      <c r="K4339" s="12"/>
      <c r="L4339" s="12"/>
      <c r="M4339" s="11"/>
      <c r="N4339" s="11"/>
      <c r="O4339" s="11"/>
      <c r="P4339" s="11"/>
    </row>
    <row r="4340" spans="8:16"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L4340" xr:uid="{00000000-0009-0000-0000-000010000000}"/>
  <sortState ref="A3:P69">
    <sortCondition ref="A1"/>
  </sortState>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8" t="s">
        <v>1000</v>
      </c>
      <c r="B1" s="558" t="s">
        <v>1001</v>
      </c>
      <c r="C1" s="558" t="s">
        <v>1002</v>
      </c>
      <c r="D1" s="558" t="s">
        <v>1003</v>
      </c>
      <c r="E1" s="559" t="s">
        <v>1004</v>
      </c>
    </row>
    <row r="2" spans="1:5" x14ac:dyDescent="0.2">
      <c r="A2" s="560" t="s">
        <v>1005</v>
      </c>
      <c r="B2" s="560" t="s">
        <v>1005</v>
      </c>
      <c r="C2" s="560">
        <v>1000</v>
      </c>
      <c r="D2" s="560">
        <v>6100</v>
      </c>
      <c r="E2" s="561">
        <f>SUMIFS('Accounting data'!$G$2:$G$37000,'Accounting data'!$J$2:$J$37000,"1*",'Accounting data'!$K$2:$K$37000,"61*")</f>
        <v>1801660</v>
      </c>
    </row>
    <row r="3" spans="1:5" x14ac:dyDescent="0.2">
      <c r="A3" s="560" t="s">
        <v>1006</v>
      </c>
      <c r="B3" s="560" t="s">
        <v>1005</v>
      </c>
      <c r="C3" s="560">
        <v>1000</v>
      </c>
      <c r="D3" s="560">
        <v>6100</v>
      </c>
      <c r="E3" s="561">
        <f>SUMIFS('Accounting data'!$G$2:$G$37000,'Accounting data'!$H$2:$H$37000,"9999*",'Accounting data'!$J$2:$J$37000,"1*",'Accounting data'!$K$2:$K$37000,"61*")</f>
        <v>0</v>
      </c>
    </row>
    <row r="4" spans="1:5" x14ac:dyDescent="0.2">
      <c r="A4" s="560" t="s">
        <v>1005</v>
      </c>
      <c r="B4" s="560" t="s">
        <v>1007</v>
      </c>
      <c r="C4" s="560">
        <v>1000</v>
      </c>
      <c r="D4" s="560">
        <v>6100</v>
      </c>
      <c r="E4" s="561">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62" t="s">
        <v>1006</v>
      </c>
      <c r="B5" s="560" t="s">
        <v>1007</v>
      </c>
      <c r="C5" s="560">
        <v>1000</v>
      </c>
      <c r="D5" s="560">
        <v>6100</v>
      </c>
      <c r="E5" s="561">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0"/>
      <c r="B6" s="560"/>
      <c r="C6" s="560"/>
      <c r="D6" s="560"/>
      <c r="E6" s="561"/>
    </row>
    <row r="7" spans="1:5" x14ac:dyDescent="0.2">
      <c r="A7" s="560"/>
      <c r="B7" s="560"/>
      <c r="C7" s="560"/>
      <c r="D7" s="560"/>
      <c r="E7" s="561"/>
    </row>
    <row r="8" spans="1:5" ht="15" x14ac:dyDescent="0.25">
      <c r="A8" s="563" t="s">
        <v>1008</v>
      </c>
      <c r="B8" s="563"/>
      <c r="C8" s="563"/>
      <c r="D8" s="563"/>
      <c r="E8" s="564">
        <f>(E2-E3-E4)+(E5+E6+E7)</f>
        <v>1801660</v>
      </c>
    </row>
    <row r="9" spans="1:5" x14ac:dyDescent="0.2">
      <c r="A9" s="560" t="s">
        <v>1005</v>
      </c>
      <c r="B9" s="560" t="s">
        <v>1005</v>
      </c>
      <c r="C9" s="560">
        <v>2100</v>
      </c>
      <c r="D9" s="560">
        <v>6100</v>
      </c>
      <c r="E9" s="561">
        <f>SUMIFS('Accounting data'!$G$2:$G$37000,'Accounting data'!$J$2:$J$37000,"21*",'Accounting data'!$K$2:$K$37000,"61*")</f>
        <v>261127</v>
      </c>
    </row>
    <row r="10" spans="1:5" x14ac:dyDescent="0.2">
      <c r="A10" s="560" t="s">
        <v>1006</v>
      </c>
      <c r="B10" s="560" t="s">
        <v>1005</v>
      </c>
      <c r="C10" s="560">
        <v>2100</v>
      </c>
      <c r="D10" s="560">
        <v>6100</v>
      </c>
      <c r="E10" s="561">
        <f>SUMIFS('Accounting data'!$G$2:$G$37000,'Accounting data'!$H$2:$H$37000,"9999*",'Accounting data'!$J$2:$J$37000,"21*",'Accounting data'!$K$2:$K$37000,"61*")</f>
        <v>0</v>
      </c>
    </row>
    <row r="11" spans="1:5" x14ac:dyDescent="0.2">
      <c r="A11" s="560" t="s">
        <v>1005</v>
      </c>
      <c r="B11" s="560" t="s">
        <v>1007</v>
      </c>
      <c r="C11" s="560">
        <v>2100</v>
      </c>
      <c r="D11" s="560">
        <v>6100</v>
      </c>
      <c r="E11" s="561">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2" t="s">
        <v>1006</v>
      </c>
      <c r="B12" s="560" t="s">
        <v>1007</v>
      </c>
      <c r="C12" s="560">
        <v>2100</v>
      </c>
      <c r="D12" s="560">
        <v>6100</v>
      </c>
      <c r="E12" s="561">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0"/>
      <c r="B13" s="560"/>
      <c r="C13" s="560"/>
      <c r="D13" s="560"/>
      <c r="E13" s="561"/>
    </row>
    <row r="14" spans="1:5" x14ac:dyDescent="0.2">
      <c r="A14" s="560"/>
      <c r="B14" s="560"/>
      <c r="C14" s="560"/>
      <c r="D14" s="560"/>
      <c r="E14" s="561"/>
    </row>
    <row r="15" spans="1:5" ht="15" x14ac:dyDescent="0.25">
      <c r="A15" s="563" t="s">
        <v>1009</v>
      </c>
      <c r="B15" s="563"/>
      <c r="C15" s="563"/>
      <c r="D15" s="563"/>
      <c r="E15" s="564">
        <f>(E9-E10-E11)+(E12+E13+E14)</f>
        <v>261127</v>
      </c>
    </row>
    <row r="16" spans="1:5" x14ac:dyDescent="0.2">
      <c r="A16" s="560" t="s">
        <v>1005</v>
      </c>
      <c r="B16" s="560" t="s">
        <v>1005</v>
      </c>
      <c r="C16" s="560">
        <v>2200</v>
      </c>
      <c r="D16" s="560">
        <v>6100</v>
      </c>
      <c r="E16" s="561">
        <f>SUMIFS('Accounting data'!$G$2:$G$37000,'Accounting data'!$J$2:$J$37000,"22*",'Accounting data'!$K$2:$K$37000,"61*")</f>
        <v>60507</v>
      </c>
    </row>
    <row r="17" spans="1:5" x14ac:dyDescent="0.2">
      <c r="A17" s="560" t="s">
        <v>1006</v>
      </c>
      <c r="B17" s="560" t="s">
        <v>1005</v>
      </c>
      <c r="C17" s="560">
        <v>2200</v>
      </c>
      <c r="D17" s="560">
        <v>6100</v>
      </c>
      <c r="E17" s="561">
        <f>SUMIFS('Accounting data'!$G$2:$G$37000,'Accounting data'!$H$2:$H$37000,"9999*",'Accounting data'!$J$2:$J$37000,"22*",'Accounting data'!$K$2:$K$37000,"61*")</f>
        <v>0</v>
      </c>
    </row>
    <row r="18" spans="1:5" x14ac:dyDescent="0.2">
      <c r="A18" s="560" t="s">
        <v>1005</v>
      </c>
      <c r="B18" s="560" t="s">
        <v>1007</v>
      </c>
      <c r="C18" s="560">
        <v>2200</v>
      </c>
      <c r="D18" s="560">
        <v>6100</v>
      </c>
      <c r="E18" s="561">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2" t="s">
        <v>1006</v>
      </c>
      <c r="B19" s="560" t="s">
        <v>1007</v>
      </c>
      <c r="C19" s="560">
        <v>2200</v>
      </c>
      <c r="D19" s="560">
        <v>6100</v>
      </c>
      <c r="E19" s="561">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0"/>
      <c r="B20" s="560"/>
      <c r="C20" s="560"/>
      <c r="D20" s="560"/>
      <c r="E20" s="561"/>
    </row>
    <row r="21" spans="1:5" x14ac:dyDescent="0.2">
      <c r="A21" s="560"/>
      <c r="B21" s="560"/>
      <c r="C21" s="560"/>
      <c r="D21" s="560"/>
      <c r="E21" s="561"/>
    </row>
    <row r="22" spans="1:5" ht="15" x14ac:dyDescent="0.25">
      <c r="A22" s="563" t="s">
        <v>1010</v>
      </c>
      <c r="B22" s="563"/>
      <c r="C22" s="563"/>
      <c r="D22" s="563"/>
      <c r="E22" s="564">
        <f>(E16-E17-E18)+(E19+E20+E21)</f>
        <v>60507</v>
      </c>
    </row>
    <row r="23" spans="1:5" x14ac:dyDescent="0.2">
      <c r="A23" s="560" t="s">
        <v>1005</v>
      </c>
      <c r="B23" s="560" t="s">
        <v>1005</v>
      </c>
      <c r="C23" s="560">
        <v>2300</v>
      </c>
      <c r="D23" s="560">
        <v>6100</v>
      </c>
      <c r="E23" s="561">
        <f>SUMIFS('Accounting data'!$G$2:$G$37000,'Accounting data'!$J$2:$J$37000,"23*",'Accounting data'!$K$2:$K$37000,"61*")</f>
        <v>23981</v>
      </c>
    </row>
    <row r="24" spans="1:5" x14ac:dyDescent="0.2">
      <c r="A24" s="560" t="s">
        <v>1006</v>
      </c>
      <c r="B24" s="560" t="s">
        <v>1005</v>
      </c>
      <c r="C24" s="560">
        <v>2300</v>
      </c>
      <c r="D24" s="560">
        <v>6100</v>
      </c>
      <c r="E24" s="561">
        <f>SUMIFS('Accounting data'!$G$2:$G$37000,'Accounting data'!$H$2:$H$37000,"9999*",'Accounting data'!$J$2:$J$37000,"23*",'Accounting data'!$K$2:$K$37000,"61*")</f>
        <v>0</v>
      </c>
    </row>
    <row r="25" spans="1:5" x14ac:dyDescent="0.2">
      <c r="A25" s="560" t="s">
        <v>1005</v>
      </c>
      <c r="B25" s="560" t="s">
        <v>1007</v>
      </c>
      <c r="C25" s="560">
        <v>2300</v>
      </c>
      <c r="D25" s="560">
        <v>6100</v>
      </c>
      <c r="E25" s="561">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2" t="s">
        <v>1006</v>
      </c>
      <c r="B26" s="560" t="s">
        <v>1007</v>
      </c>
      <c r="C26" s="560">
        <v>2300</v>
      </c>
      <c r="D26" s="560">
        <v>6100</v>
      </c>
      <c r="E26" s="561">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0"/>
      <c r="B27" s="560"/>
      <c r="C27" s="560"/>
      <c r="D27" s="560"/>
      <c r="E27" s="561"/>
    </row>
    <row r="28" spans="1:5" x14ac:dyDescent="0.2">
      <c r="A28" s="560"/>
      <c r="B28" s="560"/>
      <c r="C28" s="560"/>
      <c r="D28" s="560"/>
      <c r="E28" s="561"/>
    </row>
    <row r="29" spans="1:5" x14ac:dyDescent="0.2">
      <c r="A29" s="563" t="s">
        <v>1011</v>
      </c>
      <c r="B29" s="563"/>
      <c r="C29" s="563"/>
      <c r="D29" s="563"/>
      <c r="E29" s="565">
        <f>(E23-E24-E25)+(E26+E27+E28)</f>
        <v>23981</v>
      </c>
    </row>
    <row r="30" spans="1:5" x14ac:dyDescent="0.2">
      <c r="A30" s="560" t="s">
        <v>1005</v>
      </c>
      <c r="B30" s="560" t="s">
        <v>1005</v>
      </c>
      <c r="C30" s="560">
        <v>2400</v>
      </c>
      <c r="D30" s="560">
        <v>6100</v>
      </c>
      <c r="E30" s="561">
        <f>SUMIFS('Accounting data'!$G$2:$G$37000,'Accounting data'!$J$2:$J$37000,"24*",'Accounting data'!$K$2:$K$37000,"61*")</f>
        <v>193426</v>
      </c>
    </row>
    <row r="31" spans="1:5" x14ac:dyDescent="0.2">
      <c r="A31" s="560" t="s">
        <v>1006</v>
      </c>
      <c r="B31" s="560" t="s">
        <v>1005</v>
      </c>
      <c r="C31" s="560">
        <v>2400</v>
      </c>
      <c r="D31" s="560">
        <v>6100</v>
      </c>
      <c r="E31" s="561">
        <f>SUMIFS('Accounting data'!$G$2:$G$37000,'Accounting data'!$H$2:$H$37000,"9999*",'Accounting data'!$J$2:$J$37000,"24*",'Accounting data'!$K$2:$K$37000,"61*")</f>
        <v>0</v>
      </c>
    </row>
    <row r="32" spans="1:5" x14ac:dyDescent="0.2">
      <c r="A32" s="560" t="s">
        <v>1005</v>
      </c>
      <c r="B32" s="560" t="s">
        <v>1007</v>
      </c>
      <c r="C32" s="560">
        <v>2400</v>
      </c>
      <c r="D32" s="560">
        <v>6100</v>
      </c>
      <c r="E32" s="561">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2" t="s">
        <v>1006</v>
      </c>
      <c r="B33" s="560" t="s">
        <v>1007</v>
      </c>
      <c r="C33" s="560">
        <v>2400</v>
      </c>
      <c r="D33" s="560">
        <v>6100</v>
      </c>
      <c r="E33" s="561">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0"/>
      <c r="B34" s="560"/>
      <c r="C34" s="560"/>
      <c r="D34" s="560"/>
      <c r="E34" s="561"/>
    </row>
    <row r="35" spans="1:5" x14ac:dyDescent="0.2">
      <c r="A35" s="560"/>
      <c r="B35" s="560"/>
      <c r="C35" s="560"/>
      <c r="D35" s="560"/>
      <c r="E35" s="561"/>
    </row>
    <row r="36" spans="1:5" ht="15" x14ac:dyDescent="0.25">
      <c r="A36" s="563" t="s">
        <v>1012</v>
      </c>
      <c r="B36" s="563"/>
      <c r="C36" s="563"/>
      <c r="D36" s="563"/>
      <c r="E36" s="564">
        <f>(E30-E31-E32)+(E33+E34+E35)</f>
        <v>193426</v>
      </c>
    </row>
    <row r="37" spans="1:5" x14ac:dyDescent="0.2">
      <c r="A37" s="560" t="s">
        <v>1005</v>
      </c>
      <c r="B37" s="560" t="s">
        <v>1005</v>
      </c>
      <c r="C37" s="560">
        <v>2500</v>
      </c>
      <c r="D37" s="560">
        <v>6100</v>
      </c>
      <c r="E37" s="561">
        <f>SUMIFS('Accounting data'!$G$2:$G$37000,'Accounting data'!$J$2:$J$37000,"25*",'Accounting data'!$K$2:$K$37000,"61*")</f>
        <v>340935</v>
      </c>
    </row>
    <row r="38" spans="1:5" x14ac:dyDescent="0.2">
      <c r="A38" s="560" t="s">
        <v>1006</v>
      </c>
      <c r="B38" s="560" t="s">
        <v>1005</v>
      </c>
      <c r="C38" s="560">
        <v>2500</v>
      </c>
      <c r="D38" s="560">
        <v>6100</v>
      </c>
      <c r="E38" s="561">
        <f>SUMIFS('Accounting data'!$G$2:$G$37000,'Accounting data'!$H$2:$H$37000,"9999*",'Accounting data'!$J$2:$J$37000,"25*",'Accounting data'!$K$2:$K$37000,"61*")</f>
        <v>0</v>
      </c>
    </row>
    <row r="39" spans="1:5" x14ac:dyDescent="0.2">
      <c r="A39" s="560" t="s">
        <v>1005</v>
      </c>
      <c r="B39" s="560" t="s">
        <v>1007</v>
      </c>
      <c r="C39" s="560">
        <v>2500</v>
      </c>
      <c r="D39" s="560">
        <v>6100</v>
      </c>
      <c r="E39" s="561">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2" t="s">
        <v>1006</v>
      </c>
      <c r="B40" s="560" t="s">
        <v>1007</v>
      </c>
      <c r="C40" s="560">
        <v>2500</v>
      </c>
      <c r="D40" s="560">
        <v>6100</v>
      </c>
      <c r="E40" s="561">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0"/>
      <c r="B41" s="560"/>
      <c r="C41" s="560"/>
      <c r="D41" s="560"/>
      <c r="E41" s="561"/>
    </row>
    <row r="42" spans="1:5" x14ac:dyDescent="0.2">
      <c r="A42" s="560"/>
      <c r="B42" s="560"/>
      <c r="C42" s="560"/>
      <c r="D42" s="560"/>
      <c r="E42" s="561"/>
    </row>
    <row r="43" spans="1:5" ht="15" x14ac:dyDescent="0.25">
      <c r="A43" s="563" t="s">
        <v>1013</v>
      </c>
      <c r="B43" s="563"/>
      <c r="C43" s="563"/>
      <c r="D43" s="563"/>
      <c r="E43" s="564">
        <f>(E37-E38-E39)+(E40+E41+E42)</f>
        <v>340935</v>
      </c>
    </row>
    <row r="44" spans="1:5" x14ac:dyDescent="0.2">
      <c r="A44" s="560" t="s">
        <v>1005</v>
      </c>
      <c r="B44" s="560" t="s">
        <v>1005</v>
      </c>
      <c r="C44" s="560">
        <v>2900</v>
      </c>
      <c r="D44" s="560">
        <v>6100</v>
      </c>
      <c r="E44" s="561">
        <f>SUMIFS('Accounting data'!$G$2:$G$37000,'Accounting data'!$J$2:$J$37000,"29*",'Accounting data'!$K$2:$K$37000,"61*")</f>
        <v>0</v>
      </c>
    </row>
    <row r="45" spans="1:5" x14ac:dyDescent="0.2">
      <c r="A45" s="560" t="s">
        <v>1006</v>
      </c>
      <c r="B45" s="560" t="s">
        <v>1005</v>
      </c>
      <c r="C45" s="560">
        <v>2900</v>
      </c>
      <c r="D45" s="560">
        <v>6100</v>
      </c>
      <c r="E45" s="561">
        <f>SUMIFS('Accounting data'!$G$2:$G$37000,'Accounting data'!$H$2:$H$37000,"9999*",'Accounting data'!$J$2:$J$37000,"29*",'Accounting data'!$K$2:$K$37000,"61*")</f>
        <v>0</v>
      </c>
    </row>
    <row r="46" spans="1:5" x14ac:dyDescent="0.2">
      <c r="A46" s="560" t="s">
        <v>1005</v>
      </c>
      <c r="B46" s="560" t="s">
        <v>1007</v>
      </c>
      <c r="C46" s="560">
        <v>2900</v>
      </c>
      <c r="D46" s="560">
        <v>6100</v>
      </c>
      <c r="E46" s="561">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2" t="s">
        <v>1006</v>
      </c>
      <c r="B47" s="560" t="s">
        <v>1007</v>
      </c>
      <c r="C47" s="560">
        <v>2900</v>
      </c>
      <c r="D47" s="560">
        <v>6100</v>
      </c>
      <c r="E47" s="561">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0"/>
      <c r="B48" s="560"/>
      <c r="C48" s="560"/>
      <c r="D48" s="560"/>
      <c r="E48" s="561"/>
    </row>
    <row r="49" spans="1:5" x14ac:dyDescent="0.2">
      <c r="A49" s="560"/>
      <c r="B49" s="560"/>
      <c r="C49" s="560"/>
      <c r="D49" s="560"/>
      <c r="E49" s="561"/>
    </row>
    <row r="50" spans="1:5" ht="15" x14ac:dyDescent="0.25">
      <c r="A50" s="563" t="s">
        <v>1014</v>
      </c>
      <c r="B50" s="563"/>
      <c r="C50" s="563"/>
      <c r="D50" s="563"/>
      <c r="E50" s="564">
        <f>(E44-E45-E46)+(E47+E48+E49)</f>
        <v>0</v>
      </c>
    </row>
    <row r="51" spans="1:5" x14ac:dyDescent="0.2">
      <c r="A51" s="560" t="s">
        <v>1005</v>
      </c>
      <c r="B51" s="560" t="s">
        <v>1005</v>
      </c>
      <c r="C51" s="560">
        <v>2600</v>
      </c>
      <c r="D51" s="560">
        <v>6100</v>
      </c>
      <c r="E51" s="561">
        <f>SUMIFS('Accounting data'!$G$2:$G$37000,'Accounting data'!$J$2:$J$37000,"26*",'Accounting data'!$K$2:$K$37000,"61*")</f>
        <v>56666</v>
      </c>
    </row>
    <row r="52" spans="1:5" x14ac:dyDescent="0.2">
      <c r="A52" s="560" t="s">
        <v>1006</v>
      </c>
      <c r="B52" s="560" t="s">
        <v>1005</v>
      </c>
      <c r="C52" s="560">
        <v>2600</v>
      </c>
      <c r="D52" s="560">
        <v>6100</v>
      </c>
      <c r="E52" s="561">
        <f>SUMIFS('Accounting data'!$G$2:$G$37000,'Accounting data'!$H$2:$H$37000,"9999*",'Accounting data'!$J$2:$J$37000,"26*",'Accounting data'!$K$2:$K$37000,"61*")</f>
        <v>0</v>
      </c>
    </row>
    <row r="53" spans="1:5" x14ac:dyDescent="0.2">
      <c r="A53" s="560" t="s">
        <v>1005</v>
      </c>
      <c r="B53" s="560" t="s">
        <v>1007</v>
      </c>
      <c r="C53" s="560">
        <v>2600</v>
      </c>
      <c r="D53" s="560">
        <v>6100</v>
      </c>
      <c r="E53" s="561">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2" t="s">
        <v>1006</v>
      </c>
      <c r="B54" s="560" t="s">
        <v>1007</v>
      </c>
      <c r="C54" s="560">
        <v>2600</v>
      </c>
      <c r="D54" s="560">
        <v>6100</v>
      </c>
      <c r="E54" s="561">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0"/>
      <c r="B55" s="560"/>
      <c r="C55" s="560"/>
      <c r="D55" s="560"/>
      <c r="E55" s="561"/>
    </row>
    <row r="56" spans="1:5" x14ac:dyDescent="0.2">
      <c r="A56" s="560"/>
      <c r="B56" s="560"/>
      <c r="C56" s="560"/>
      <c r="D56" s="560"/>
      <c r="E56" s="561"/>
    </row>
    <row r="57" spans="1:5" ht="15" x14ac:dyDescent="0.25">
      <c r="A57" s="563" t="s">
        <v>1015</v>
      </c>
      <c r="B57" s="563"/>
      <c r="C57" s="563"/>
      <c r="D57" s="563"/>
      <c r="E57" s="564">
        <f>(E51-E52-E53)+(E54+E55+E56)</f>
        <v>56666</v>
      </c>
    </row>
    <row r="58" spans="1:5" x14ac:dyDescent="0.2">
      <c r="A58" s="560" t="s">
        <v>1005</v>
      </c>
      <c r="B58" s="560" t="s">
        <v>1005</v>
      </c>
      <c r="C58" s="560">
        <v>2700</v>
      </c>
      <c r="D58" s="560">
        <v>6100</v>
      </c>
      <c r="E58" s="561">
        <f>SUMIFS('Accounting data'!$G$2:$G$37000,'Accounting data'!$J$2:$J$37000,"27*",'Accounting data'!$K$2:$K$37000,"61*")</f>
        <v>804</v>
      </c>
    </row>
    <row r="59" spans="1:5" x14ac:dyDescent="0.2">
      <c r="A59" s="560" t="s">
        <v>1006</v>
      </c>
      <c r="B59" s="560" t="s">
        <v>1005</v>
      </c>
      <c r="C59" s="560">
        <v>2700</v>
      </c>
      <c r="D59" s="560">
        <v>6100</v>
      </c>
      <c r="E59" s="561">
        <f>SUMIFS('Accounting data'!$G$2:$G$37000,'Accounting data'!$H$2:$H$37000,"9999*",'Accounting data'!$J$2:$J$37000,"27*",'Accounting data'!$K$2:$K$37000,"61*")</f>
        <v>0</v>
      </c>
    </row>
    <row r="60" spans="1:5" x14ac:dyDescent="0.2">
      <c r="A60" s="560" t="s">
        <v>1005</v>
      </c>
      <c r="B60" s="560" t="s">
        <v>1007</v>
      </c>
      <c r="C60" s="560">
        <v>2700</v>
      </c>
      <c r="D60" s="560">
        <v>6100</v>
      </c>
      <c r="E60" s="561">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2" t="s">
        <v>1006</v>
      </c>
      <c r="B61" s="560" t="s">
        <v>1007</v>
      </c>
      <c r="C61" s="560">
        <v>2700</v>
      </c>
      <c r="D61" s="560">
        <v>6100</v>
      </c>
      <c r="E61" s="561">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0"/>
      <c r="B62" s="560"/>
      <c r="C62" s="560"/>
      <c r="D62" s="560"/>
      <c r="E62" s="561"/>
    </row>
    <row r="63" spans="1:5" x14ac:dyDescent="0.2">
      <c r="A63" s="560"/>
      <c r="B63" s="560"/>
      <c r="C63" s="560"/>
      <c r="D63" s="560"/>
      <c r="E63" s="561"/>
    </row>
    <row r="64" spans="1:5" ht="15" x14ac:dyDescent="0.25">
      <c r="A64" s="563" t="s">
        <v>1016</v>
      </c>
      <c r="B64" s="563"/>
      <c r="C64" s="563"/>
      <c r="D64" s="563"/>
      <c r="E64" s="564">
        <f>(E58-E59-E60)+(E61+E62+E63)</f>
        <v>804</v>
      </c>
    </row>
    <row r="65" spans="1:5" x14ac:dyDescent="0.2">
      <c r="A65" s="560" t="s">
        <v>1005</v>
      </c>
      <c r="B65" s="560" t="s">
        <v>1005</v>
      </c>
      <c r="C65" s="560">
        <v>3100</v>
      </c>
      <c r="D65" s="560">
        <v>6100</v>
      </c>
      <c r="E65" s="561">
        <f>SUMIFS('Accounting data'!$G$2:$G$37000,'Accounting data'!$J$2:$J$37000,"31*",'Accounting data'!$K$2:$K$37000,"61*")</f>
        <v>13033</v>
      </c>
    </row>
    <row r="66" spans="1:5" x14ac:dyDescent="0.2">
      <c r="A66" s="560" t="s">
        <v>1006</v>
      </c>
      <c r="B66" s="560" t="s">
        <v>1005</v>
      </c>
      <c r="C66" s="560">
        <v>3100</v>
      </c>
      <c r="D66" s="560">
        <v>6100</v>
      </c>
      <c r="E66" s="561">
        <f>SUMIFS('Accounting data'!$G$2:$G$37000,'Accounting data'!$H$2:$H$37000,"9999*",'Accounting data'!$J$2:$J$37000,"31*",'Accounting data'!$K$2:$K$37000,"61*")</f>
        <v>0</v>
      </c>
    </row>
    <row r="67" spans="1:5" x14ac:dyDescent="0.2">
      <c r="A67" s="560" t="s">
        <v>1005</v>
      </c>
      <c r="B67" s="560" t="s">
        <v>1007</v>
      </c>
      <c r="C67" s="560">
        <v>3100</v>
      </c>
      <c r="D67" s="560">
        <v>6100</v>
      </c>
      <c r="E67" s="561">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2" t="s">
        <v>1006</v>
      </c>
      <c r="B68" s="560" t="s">
        <v>1007</v>
      </c>
      <c r="C68" s="560">
        <v>3100</v>
      </c>
      <c r="D68" s="560">
        <v>6100</v>
      </c>
      <c r="E68" s="561">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0"/>
      <c r="B69" s="560"/>
      <c r="C69" s="560"/>
      <c r="D69" s="560"/>
      <c r="E69" s="561"/>
    </row>
    <row r="70" spans="1:5" x14ac:dyDescent="0.2">
      <c r="A70" s="560"/>
      <c r="B70" s="560"/>
      <c r="C70" s="560"/>
      <c r="D70" s="560"/>
      <c r="E70" s="561"/>
    </row>
    <row r="71" spans="1:5" ht="15" x14ac:dyDescent="0.25">
      <c r="A71" s="563" t="s">
        <v>1017</v>
      </c>
      <c r="B71" s="563"/>
      <c r="C71" s="563"/>
      <c r="D71" s="563"/>
      <c r="E71" s="564">
        <f>(E65-E66-E67)+(E68+E69+E70)</f>
        <v>13033</v>
      </c>
    </row>
    <row r="72" spans="1:5" x14ac:dyDescent="0.2">
      <c r="A72" s="560"/>
      <c r="B72" s="560"/>
      <c r="C72" s="560"/>
      <c r="D72" s="560"/>
      <c r="E72" s="561"/>
    </row>
    <row r="73" spans="1:5" x14ac:dyDescent="0.2">
      <c r="A73" s="560"/>
      <c r="B73" s="560"/>
      <c r="C73" s="560"/>
      <c r="D73" s="560"/>
      <c r="E73" s="561"/>
    </row>
    <row r="74" spans="1:5" x14ac:dyDescent="0.2">
      <c r="A74" s="560"/>
      <c r="B74" s="560"/>
      <c r="C74" s="560"/>
      <c r="D74" s="560"/>
      <c r="E74" s="561"/>
    </row>
    <row r="75" spans="1:5" x14ac:dyDescent="0.2">
      <c r="A75" s="562"/>
      <c r="B75" s="560"/>
      <c r="C75" s="560"/>
      <c r="D75" s="560"/>
      <c r="E75" s="561"/>
    </row>
    <row r="76" spans="1:5" x14ac:dyDescent="0.2">
      <c r="A76" s="560"/>
      <c r="B76" s="560"/>
      <c r="C76" s="560"/>
      <c r="D76" s="560"/>
      <c r="E76" s="561"/>
    </row>
    <row r="77" spans="1:5" x14ac:dyDescent="0.2">
      <c r="A77" s="560"/>
      <c r="B77" s="560"/>
      <c r="C77" s="560"/>
      <c r="D77" s="560"/>
      <c r="E77" s="561"/>
    </row>
    <row r="78" spans="1:5" ht="15" x14ac:dyDescent="0.25">
      <c r="A78" s="563"/>
      <c r="B78" s="563"/>
      <c r="C78" s="563"/>
      <c r="D78" s="563"/>
      <c r="E78" s="564"/>
    </row>
    <row r="79" spans="1:5" x14ac:dyDescent="0.2">
      <c r="A79" s="560" t="s">
        <v>1005</v>
      </c>
      <c r="B79" s="560" t="s">
        <v>1005</v>
      </c>
      <c r="C79" s="560">
        <v>3400</v>
      </c>
      <c r="D79" s="560">
        <v>6100</v>
      </c>
      <c r="E79" s="561">
        <f>SUMIFS('Accounting data'!$G$2:$G$37000,'Accounting data'!$J$2:$J$37000,"34*",'Accounting data'!$K$2:$K$37000,"61*")</f>
        <v>0</v>
      </c>
    </row>
    <row r="80" spans="1:5" x14ac:dyDescent="0.2">
      <c r="A80" s="560" t="s">
        <v>1006</v>
      </c>
      <c r="B80" s="560" t="s">
        <v>1005</v>
      </c>
      <c r="C80" s="560">
        <v>3400</v>
      </c>
      <c r="D80" s="560">
        <v>6100</v>
      </c>
      <c r="E80" s="561">
        <f>SUMIFS('Accounting data'!$G$2:$G$37000,'Accounting data'!$H$2:$H$37000,"9999*",'Accounting data'!$J$2:$J$37000,"34*",'Accounting data'!$K$2:$K$37000,"61*")</f>
        <v>0</v>
      </c>
    </row>
    <row r="81" spans="1:5" x14ac:dyDescent="0.2">
      <c r="A81" s="560" t="s">
        <v>1005</v>
      </c>
      <c r="B81" s="560" t="s">
        <v>1007</v>
      </c>
      <c r="C81" s="560">
        <v>3400</v>
      </c>
      <c r="D81" s="560">
        <v>6100</v>
      </c>
      <c r="E81" s="561">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2" t="s">
        <v>1006</v>
      </c>
      <c r="B82" s="560" t="s">
        <v>1007</v>
      </c>
      <c r="C82" s="560">
        <v>3400</v>
      </c>
      <c r="D82" s="560">
        <v>6100</v>
      </c>
      <c r="E82" s="561">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0"/>
      <c r="B83" s="560"/>
      <c r="C83" s="560"/>
      <c r="D83" s="560"/>
      <c r="E83" s="561"/>
    </row>
    <row r="84" spans="1:5" x14ac:dyDescent="0.2">
      <c r="A84" s="560"/>
      <c r="B84" s="560"/>
      <c r="C84" s="560"/>
      <c r="D84" s="560"/>
      <c r="E84" s="561"/>
    </row>
    <row r="85" spans="1:5" ht="15" x14ac:dyDescent="0.25">
      <c r="A85" s="563" t="s">
        <v>1018</v>
      </c>
      <c r="B85" s="563"/>
      <c r="C85" s="563"/>
      <c r="D85" s="563"/>
      <c r="E85" s="564">
        <f>(E79-E80-E81)+(E82+E83+E84)</f>
        <v>0</v>
      </c>
    </row>
    <row r="86" spans="1:5" x14ac:dyDescent="0.2">
      <c r="A86" s="560" t="s">
        <v>1005</v>
      </c>
      <c r="B86" s="560" t="s">
        <v>1005</v>
      </c>
      <c r="C86" s="560">
        <v>4000</v>
      </c>
      <c r="D86" s="560">
        <v>6100</v>
      </c>
      <c r="E86" s="561">
        <f>SUMIFS('Accounting data'!$G$2:$G$37000,'Accounting data'!$J$2:$J$37000,"4*",'Accounting data'!$K$2:$K$37000,"61*")</f>
        <v>0</v>
      </c>
    </row>
    <row r="87" spans="1:5" x14ac:dyDescent="0.2">
      <c r="A87" s="560" t="s">
        <v>1006</v>
      </c>
      <c r="B87" s="560" t="s">
        <v>1005</v>
      </c>
      <c r="C87" s="560">
        <v>4000</v>
      </c>
      <c r="D87" s="560">
        <v>6100</v>
      </c>
      <c r="E87" s="561">
        <f>SUMIFS('Accounting data'!$G$2:$G$37000,'Accounting data'!$H$2:$H$37000,"9999*",'Accounting data'!$J$2:$J$37000,"4*",'Accounting data'!$K$2:$K$37000,"61*")</f>
        <v>0</v>
      </c>
    </row>
    <row r="88" spans="1:5" x14ac:dyDescent="0.2">
      <c r="A88" s="560" t="s">
        <v>1005</v>
      </c>
      <c r="B88" s="560" t="s">
        <v>1007</v>
      </c>
      <c r="C88" s="560">
        <v>4000</v>
      </c>
      <c r="D88" s="560">
        <v>6100</v>
      </c>
      <c r="E88" s="561">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2" t="s">
        <v>1006</v>
      </c>
      <c r="B89" s="560" t="s">
        <v>1007</v>
      </c>
      <c r="C89" s="560">
        <v>4000</v>
      </c>
      <c r="D89" s="560">
        <v>6100</v>
      </c>
      <c r="E89" s="561">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0"/>
      <c r="B90" s="560"/>
      <c r="C90" s="560"/>
      <c r="D90" s="560"/>
      <c r="E90" s="561"/>
    </row>
    <row r="91" spans="1:5" x14ac:dyDescent="0.2">
      <c r="A91" s="560"/>
      <c r="B91" s="560"/>
      <c r="C91" s="560"/>
      <c r="D91" s="560"/>
      <c r="E91" s="561"/>
    </row>
    <row r="92" spans="1:5" ht="15" x14ac:dyDescent="0.25">
      <c r="A92" s="563" t="s">
        <v>1019</v>
      </c>
      <c r="B92" s="563"/>
      <c r="C92" s="563"/>
      <c r="D92" s="563"/>
      <c r="E92" s="564">
        <f>(E86-E87-E88)+(E89+E90+E91)</f>
        <v>0</v>
      </c>
    </row>
    <row r="93" spans="1:5" ht="15" x14ac:dyDescent="0.25">
      <c r="A93" s="566" t="s">
        <v>1020</v>
      </c>
      <c r="B93" s="566"/>
      <c r="C93" s="566"/>
      <c r="D93" s="566"/>
      <c r="E93" s="567">
        <f>E8+E15+E22+E29+E36+E43+E50+E57+E64+E71+E78+E85</f>
        <v>2752139</v>
      </c>
    </row>
    <row r="94" spans="1:5" x14ac:dyDescent="0.2">
      <c r="A94" s="560" t="s">
        <v>1021</v>
      </c>
      <c r="B94" s="560" t="s">
        <v>1005</v>
      </c>
      <c r="C94" s="560">
        <v>1000</v>
      </c>
      <c r="D94" s="560">
        <v>6100</v>
      </c>
      <c r="E94" s="561">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312275</v>
      </c>
    </row>
    <row r="95" spans="1:5" x14ac:dyDescent="0.2">
      <c r="A95" s="560" t="s">
        <v>1021</v>
      </c>
      <c r="B95" s="560" t="s">
        <v>1005</v>
      </c>
      <c r="C95" s="560">
        <v>2000</v>
      </c>
      <c r="D95" s="560">
        <v>6100</v>
      </c>
      <c r="E95" s="561">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127720</v>
      </c>
    </row>
    <row r="96" spans="1:5" x14ac:dyDescent="0.2">
      <c r="A96" s="560" t="s">
        <v>1021</v>
      </c>
      <c r="B96" s="560" t="s">
        <v>1005</v>
      </c>
      <c r="C96" s="560">
        <v>3000</v>
      </c>
      <c r="D96" s="560">
        <v>6100</v>
      </c>
      <c r="E96" s="561">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0" t="s">
        <v>1021</v>
      </c>
      <c r="B97" s="562">
        <v>700</v>
      </c>
      <c r="C97" s="560">
        <v>1000</v>
      </c>
      <c r="D97" s="560">
        <v>6100</v>
      </c>
      <c r="E97" s="561">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0" t="s">
        <v>1021</v>
      </c>
      <c r="B98" s="562">
        <v>800</v>
      </c>
      <c r="C98" s="560">
        <v>1000</v>
      </c>
      <c r="D98" s="560">
        <v>6100</v>
      </c>
      <c r="E98" s="561">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0" t="s">
        <v>1021</v>
      </c>
      <c r="B99" s="562">
        <v>900</v>
      </c>
      <c r="C99" s="560">
        <v>1000</v>
      </c>
      <c r="D99" s="560">
        <v>6100</v>
      </c>
      <c r="E99" s="561">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0" t="s">
        <v>1021</v>
      </c>
      <c r="B100" s="562">
        <v>700</v>
      </c>
      <c r="C100" s="560">
        <v>2000</v>
      </c>
      <c r="D100" s="560">
        <v>6100</v>
      </c>
      <c r="E100" s="561">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0" t="s">
        <v>1021</v>
      </c>
      <c r="B101" s="562">
        <v>800</v>
      </c>
      <c r="C101" s="560">
        <v>2000</v>
      </c>
      <c r="D101" s="560">
        <v>6100</v>
      </c>
      <c r="E101" s="561">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0" t="s">
        <v>1021</v>
      </c>
      <c r="B102" s="562">
        <v>900</v>
      </c>
      <c r="C102" s="560">
        <v>2000</v>
      </c>
      <c r="D102" s="560">
        <v>6100</v>
      </c>
      <c r="E102" s="561">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0" t="s">
        <v>1021</v>
      </c>
      <c r="B103" s="562">
        <v>700</v>
      </c>
      <c r="C103" s="560">
        <v>3000</v>
      </c>
      <c r="D103" s="560">
        <v>6100</v>
      </c>
      <c r="E103" s="561">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0" t="s">
        <v>1021</v>
      </c>
      <c r="B104" s="562">
        <v>800</v>
      </c>
      <c r="C104" s="560">
        <v>3000</v>
      </c>
      <c r="D104" s="560">
        <v>6100</v>
      </c>
      <c r="E104" s="561">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0" t="s">
        <v>1021</v>
      </c>
      <c r="B105" s="562">
        <v>900</v>
      </c>
      <c r="C105" s="560">
        <v>3000</v>
      </c>
      <c r="D105" s="560">
        <v>6100</v>
      </c>
      <c r="E105" s="561">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3" t="s">
        <v>1022</v>
      </c>
      <c r="B106" s="563"/>
      <c r="C106" s="563"/>
      <c r="D106" s="563"/>
      <c r="E106" s="564">
        <f>(E94+E95+E96)-(E97+E98+E99+E100+E101+E102+E103+E104+E105)</f>
        <v>439995</v>
      </c>
    </row>
    <row r="107" spans="1:5" x14ac:dyDescent="0.2">
      <c r="A107" s="560" t="s">
        <v>1005</v>
      </c>
      <c r="B107" s="560" t="s">
        <v>1005</v>
      </c>
      <c r="C107" s="560">
        <v>1000</v>
      </c>
      <c r="D107" s="560">
        <v>6200</v>
      </c>
      <c r="E107" s="561">
        <f>SUMIFS('Accounting data'!$G$2:$G$37000,'Accounting data'!$J$2:$J$37000,"1*",'Accounting data'!$K$2:$K$37000,"62*")</f>
        <v>460301</v>
      </c>
    </row>
    <row r="108" spans="1:5" x14ac:dyDescent="0.2">
      <c r="A108" s="560" t="s">
        <v>1006</v>
      </c>
      <c r="B108" s="560" t="s">
        <v>1005</v>
      </c>
      <c r="C108" s="560">
        <v>1000</v>
      </c>
      <c r="D108" s="560">
        <v>6200</v>
      </c>
      <c r="E108" s="561">
        <f>SUMIFS('Accounting data'!$G$2:$G$37000,'Accounting data'!$H$2:$H$37000,"9999*",'Accounting data'!$J$2:$J$37000,"1*",'Accounting data'!$K$2:$K$37000,"62*")</f>
        <v>0</v>
      </c>
    </row>
    <row r="109" spans="1:5" x14ac:dyDescent="0.2">
      <c r="A109" s="560" t="s">
        <v>1005</v>
      </c>
      <c r="B109" s="560" t="s">
        <v>1007</v>
      </c>
      <c r="C109" s="560">
        <v>1000</v>
      </c>
      <c r="D109" s="560">
        <v>6200</v>
      </c>
      <c r="E109" s="561">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62" t="s">
        <v>1006</v>
      </c>
      <c r="B110" s="560" t="s">
        <v>1007</v>
      </c>
      <c r="C110" s="560">
        <v>1000</v>
      </c>
      <c r="D110" s="560">
        <v>6200</v>
      </c>
      <c r="E110" s="561">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0"/>
      <c r="B111" s="560"/>
      <c r="C111" s="560"/>
      <c r="D111" s="560"/>
      <c r="E111" s="561"/>
    </row>
    <row r="112" spans="1:5" x14ac:dyDescent="0.2">
      <c r="A112" s="560"/>
      <c r="B112" s="560"/>
      <c r="C112" s="560"/>
      <c r="D112" s="560"/>
      <c r="E112" s="561"/>
    </row>
    <row r="113" spans="1:5" ht="15" x14ac:dyDescent="0.25">
      <c r="A113" s="563" t="s">
        <v>1023</v>
      </c>
      <c r="B113" s="563"/>
      <c r="C113" s="563"/>
      <c r="D113" s="563"/>
      <c r="E113" s="564">
        <f>(E107-E108-E109)+(E110+E111+E112)</f>
        <v>460301</v>
      </c>
    </row>
    <row r="114" spans="1:5" x14ac:dyDescent="0.2">
      <c r="A114" s="560" t="s">
        <v>1005</v>
      </c>
      <c r="B114" s="560" t="s">
        <v>1005</v>
      </c>
      <c r="C114" s="560">
        <v>2100</v>
      </c>
      <c r="D114" s="560">
        <v>6200</v>
      </c>
      <c r="E114" s="561">
        <f>SUMIFS('Accounting data'!$G$2:$G$37000,'Accounting data'!$J$2:$J$37000,"21*",'Accounting data'!$K$2:$K$37000,"62*")</f>
        <v>72247</v>
      </c>
    </row>
    <row r="115" spans="1:5" x14ac:dyDescent="0.2">
      <c r="A115" s="560" t="s">
        <v>1006</v>
      </c>
      <c r="B115" s="560" t="s">
        <v>1005</v>
      </c>
      <c r="C115" s="560">
        <v>2100</v>
      </c>
      <c r="D115" s="560">
        <v>6200</v>
      </c>
      <c r="E115" s="561">
        <f>SUMIFS('Accounting data'!$G$2:$G$37000,'Accounting data'!$H$2:$H$37000,"9999*",'Accounting data'!$J$2:$J$37000,"21*",'Accounting data'!$K$2:$K$37000,"62*")</f>
        <v>0</v>
      </c>
    </row>
    <row r="116" spans="1:5" x14ac:dyDescent="0.2">
      <c r="A116" s="560" t="s">
        <v>1005</v>
      </c>
      <c r="B116" s="560" t="s">
        <v>1007</v>
      </c>
      <c r="C116" s="560">
        <v>2100</v>
      </c>
      <c r="D116" s="560">
        <v>6200</v>
      </c>
      <c r="E116" s="561">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2" t="s">
        <v>1006</v>
      </c>
      <c r="B117" s="560" t="s">
        <v>1007</v>
      </c>
      <c r="C117" s="560">
        <v>2100</v>
      </c>
      <c r="D117" s="560">
        <v>6200</v>
      </c>
      <c r="E117" s="561">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0"/>
      <c r="B118" s="560"/>
      <c r="C118" s="560"/>
      <c r="D118" s="560"/>
      <c r="E118" s="561"/>
    </row>
    <row r="119" spans="1:5" x14ac:dyDescent="0.2">
      <c r="A119" s="560"/>
      <c r="B119" s="560"/>
      <c r="C119" s="560"/>
      <c r="D119" s="560"/>
      <c r="E119" s="561"/>
    </row>
    <row r="120" spans="1:5" ht="15" x14ac:dyDescent="0.25">
      <c r="A120" s="563" t="s">
        <v>1024</v>
      </c>
      <c r="B120" s="563"/>
      <c r="C120" s="563"/>
      <c r="D120" s="563"/>
      <c r="E120" s="564">
        <f>(E114-E115-E116)+(E117+E118+E119)</f>
        <v>72247</v>
      </c>
    </row>
    <row r="121" spans="1:5" x14ac:dyDescent="0.2">
      <c r="A121" s="560" t="s">
        <v>1005</v>
      </c>
      <c r="B121" s="560" t="s">
        <v>1005</v>
      </c>
      <c r="C121" s="560">
        <v>2200</v>
      </c>
      <c r="D121" s="560">
        <v>6200</v>
      </c>
      <c r="E121" s="561">
        <f>SUMIFS('Accounting data'!$G$2:$G$37000,'Accounting data'!$J$2:$J$37000,"22*",'Accounting data'!$K$2:$K$37000,"62*")</f>
        <v>17257</v>
      </c>
    </row>
    <row r="122" spans="1:5" x14ac:dyDescent="0.2">
      <c r="A122" s="560" t="s">
        <v>1006</v>
      </c>
      <c r="B122" s="560" t="s">
        <v>1005</v>
      </c>
      <c r="C122" s="560">
        <v>2200</v>
      </c>
      <c r="D122" s="560">
        <v>6200</v>
      </c>
      <c r="E122" s="561">
        <f>SUMIFS('Accounting data'!$G$2:$G$37000,'Accounting data'!$H$2:$H$37000,"9999*",'Accounting data'!$J$2:$J$37000,"22*",'Accounting data'!$K$2:$K$37000,"62*")</f>
        <v>0</v>
      </c>
    </row>
    <row r="123" spans="1:5" x14ac:dyDescent="0.2">
      <c r="A123" s="560" t="s">
        <v>1005</v>
      </c>
      <c r="B123" s="560" t="s">
        <v>1007</v>
      </c>
      <c r="C123" s="560">
        <v>2200</v>
      </c>
      <c r="D123" s="560">
        <v>6200</v>
      </c>
      <c r="E123" s="561">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2" t="s">
        <v>1006</v>
      </c>
      <c r="B124" s="560" t="s">
        <v>1007</v>
      </c>
      <c r="C124" s="560">
        <v>2200</v>
      </c>
      <c r="D124" s="560">
        <v>6200</v>
      </c>
      <c r="E124" s="561">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0"/>
      <c r="B125" s="560"/>
      <c r="C125" s="560"/>
      <c r="D125" s="560"/>
      <c r="E125" s="561"/>
    </row>
    <row r="126" spans="1:5" x14ac:dyDescent="0.2">
      <c r="A126" s="560"/>
      <c r="B126" s="560"/>
      <c r="C126" s="560"/>
      <c r="D126" s="560"/>
      <c r="E126" s="561"/>
    </row>
    <row r="127" spans="1:5" ht="15" x14ac:dyDescent="0.25">
      <c r="A127" s="563" t="s">
        <v>1025</v>
      </c>
      <c r="B127" s="563"/>
      <c r="C127" s="563"/>
      <c r="D127" s="563"/>
      <c r="E127" s="564">
        <f>(E121-E122-E123)+(E124+E125+E126)</f>
        <v>17257</v>
      </c>
    </row>
    <row r="128" spans="1:5" x14ac:dyDescent="0.2">
      <c r="A128" s="560" t="s">
        <v>1005</v>
      </c>
      <c r="B128" s="560" t="s">
        <v>1005</v>
      </c>
      <c r="C128" s="560">
        <v>2300</v>
      </c>
      <c r="D128" s="560">
        <v>6200</v>
      </c>
      <c r="E128" s="561">
        <f>SUMIFS('Accounting data'!$G$2:$G$37000,'Accounting data'!$J$2:$J$37000,"23*",'Accounting data'!$K$2:$K$37000,"62*")</f>
        <v>5020</v>
      </c>
    </row>
    <row r="129" spans="1:5" x14ac:dyDescent="0.2">
      <c r="A129" s="560" t="s">
        <v>1006</v>
      </c>
      <c r="B129" s="560" t="s">
        <v>1005</v>
      </c>
      <c r="C129" s="560">
        <v>2300</v>
      </c>
      <c r="D129" s="560">
        <v>6200</v>
      </c>
      <c r="E129" s="561">
        <f>SUMIFS('Accounting data'!$G$2:$G$37000,'Accounting data'!$H$2:$H$37000,"9999*",'Accounting data'!$J$2:$J$37000,"23*",'Accounting data'!$K$2:$K$37000,"62*")</f>
        <v>0</v>
      </c>
    </row>
    <row r="130" spans="1:5" x14ac:dyDescent="0.2">
      <c r="A130" s="560" t="s">
        <v>1005</v>
      </c>
      <c r="B130" s="560" t="s">
        <v>1007</v>
      </c>
      <c r="C130" s="560">
        <v>2300</v>
      </c>
      <c r="D130" s="560">
        <v>6200</v>
      </c>
      <c r="E130" s="561">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2" t="s">
        <v>1006</v>
      </c>
      <c r="B131" s="560" t="s">
        <v>1007</v>
      </c>
      <c r="C131" s="560">
        <v>2300</v>
      </c>
      <c r="D131" s="560">
        <v>6200</v>
      </c>
      <c r="E131" s="561">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0"/>
      <c r="B132" s="560"/>
      <c r="C132" s="560"/>
      <c r="D132" s="560"/>
      <c r="E132" s="561"/>
    </row>
    <row r="133" spans="1:5" x14ac:dyDescent="0.2">
      <c r="A133" s="560"/>
      <c r="B133" s="560"/>
      <c r="C133" s="560"/>
      <c r="D133" s="560"/>
      <c r="E133" s="561"/>
    </row>
    <row r="134" spans="1:5" ht="15" x14ac:dyDescent="0.25">
      <c r="A134" s="563" t="s">
        <v>1026</v>
      </c>
      <c r="B134" s="563"/>
      <c r="C134" s="563"/>
      <c r="D134" s="563"/>
      <c r="E134" s="564">
        <f>(E128-E129-E130)+(E131+E132+E133)</f>
        <v>5020</v>
      </c>
    </row>
    <row r="135" spans="1:5" x14ac:dyDescent="0.2">
      <c r="A135" s="560" t="s">
        <v>1005</v>
      </c>
      <c r="B135" s="560" t="s">
        <v>1005</v>
      </c>
      <c r="C135" s="560">
        <v>2400</v>
      </c>
      <c r="D135" s="560">
        <v>6200</v>
      </c>
      <c r="E135" s="561">
        <f>SUMIFS('Accounting data'!$G$2:$G$37000,'Accounting data'!$J$2:$J$37000,"24*",'Accounting data'!$K$2:$K$37000,"62*")</f>
        <v>44960</v>
      </c>
    </row>
    <row r="136" spans="1:5" x14ac:dyDescent="0.2">
      <c r="A136" s="560" t="s">
        <v>1006</v>
      </c>
      <c r="B136" s="560" t="s">
        <v>1005</v>
      </c>
      <c r="C136" s="560">
        <v>2400</v>
      </c>
      <c r="D136" s="560">
        <v>6200</v>
      </c>
      <c r="E136" s="561">
        <f>SUMIFS('Accounting data'!$G$2:$G$37000,'Accounting data'!$H$2:$H$37000,"9999*",'Accounting data'!$J$2:$J$37000,"24*",'Accounting data'!$K$2:$K$37000,"62*")</f>
        <v>0</v>
      </c>
    </row>
    <row r="137" spans="1:5" x14ac:dyDescent="0.2">
      <c r="A137" s="560" t="s">
        <v>1005</v>
      </c>
      <c r="B137" s="560" t="s">
        <v>1007</v>
      </c>
      <c r="C137" s="560">
        <v>2400</v>
      </c>
      <c r="D137" s="560">
        <v>6200</v>
      </c>
      <c r="E137" s="561">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2" t="s">
        <v>1006</v>
      </c>
      <c r="B138" s="560" t="s">
        <v>1007</v>
      </c>
      <c r="C138" s="560">
        <v>2400</v>
      </c>
      <c r="D138" s="560">
        <v>6200</v>
      </c>
      <c r="E138" s="561">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0"/>
      <c r="B139" s="560"/>
      <c r="C139" s="560"/>
      <c r="D139" s="560"/>
      <c r="E139" s="561"/>
    </row>
    <row r="140" spans="1:5" x14ac:dyDescent="0.2">
      <c r="A140" s="560"/>
      <c r="B140" s="560"/>
      <c r="C140" s="560"/>
      <c r="D140" s="560"/>
      <c r="E140" s="561"/>
    </row>
    <row r="141" spans="1:5" ht="15" x14ac:dyDescent="0.25">
      <c r="A141" s="563" t="s">
        <v>1027</v>
      </c>
      <c r="B141" s="563"/>
      <c r="C141" s="563"/>
      <c r="D141" s="563"/>
      <c r="E141" s="564">
        <f>(E135-E136-E137)+(E138+E139+E140)</f>
        <v>44960</v>
      </c>
    </row>
    <row r="142" spans="1:5" x14ac:dyDescent="0.2">
      <c r="A142" s="560" t="s">
        <v>1005</v>
      </c>
      <c r="B142" s="560" t="s">
        <v>1005</v>
      </c>
      <c r="C142" s="560">
        <v>2500</v>
      </c>
      <c r="D142" s="560">
        <v>6200</v>
      </c>
      <c r="E142" s="561">
        <f>SUMIFS('Accounting data'!$G$2:$G$37000,'Accounting data'!$J$2:$J$37000,"25*",'Accounting data'!$K$2:$K$37000,"62*")</f>
        <v>285146</v>
      </c>
    </row>
    <row r="143" spans="1:5" x14ac:dyDescent="0.2">
      <c r="A143" s="560" t="s">
        <v>1006</v>
      </c>
      <c r="B143" s="560" t="s">
        <v>1005</v>
      </c>
      <c r="C143" s="560">
        <v>2500</v>
      </c>
      <c r="D143" s="560">
        <v>6200</v>
      </c>
      <c r="E143" s="561">
        <f>SUMIFS('Accounting data'!$G$2:$G$37000,'Accounting data'!$H$2:$H$37000,"9999*",'Accounting data'!$J$2:$J$37000,"25*",'Accounting data'!$K$2:$K$37000,"62*")</f>
        <v>0</v>
      </c>
    </row>
    <row r="144" spans="1:5" x14ac:dyDescent="0.2">
      <c r="A144" s="560" t="s">
        <v>1005</v>
      </c>
      <c r="B144" s="560" t="s">
        <v>1007</v>
      </c>
      <c r="C144" s="560">
        <v>2500</v>
      </c>
      <c r="D144" s="560">
        <v>6200</v>
      </c>
      <c r="E144" s="561">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2" t="s">
        <v>1006</v>
      </c>
      <c r="B145" s="560" t="s">
        <v>1007</v>
      </c>
      <c r="C145" s="560">
        <v>2500</v>
      </c>
      <c r="D145" s="560">
        <v>6200</v>
      </c>
      <c r="E145" s="561">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0"/>
      <c r="B146" s="560"/>
      <c r="C146" s="560"/>
      <c r="D146" s="560"/>
      <c r="E146" s="561"/>
    </row>
    <row r="147" spans="1:5" x14ac:dyDescent="0.2">
      <c r="A147" s="560"/>
      <c r="B147" s="560"/>
      <c r="C147" s="560"/>
      <c r="D147" s="560"/>
      <c r="E147" s="561"/>
    </row>
    <row r="148" spans="1:5" ht="15" x14ac:dyDescent="0.25">
      <c r="A148" s="563" t="s">
        <v>1028</v>
      </c>
      <c r="B148" s="563"/>
      <c r="C148" s="563"/>
      <c r="D148" s="563"/>
      <c r="E148" s="564">
        <f>(E142-E143-E144)+(E145+E146+E147)</f>
        <v>285146</v>
      </c>
    </row>
    <row r="149" spans="1:5" x14ac:dyDescent="0.2">
      <c r="A149" s="560" t="s">
        <v>1005</v>
      </c>
      <c r="B149" s="560" t="s">
        <v>1005</v>
      </c>
      <c r="C149" s="560">
        <v>2900</v>
      </c>
      <c r="D149" s="560">
        <v>6200</v>
      </c>
      <c r="E149" s="561">
        <f>SUMIFS('Accounting data'!$G$2:$G$37000,'Accounting data'!$J$2:$J$37000,"29*",'Accounting data'!$K$2:$K$37000,"62*")</f>
        <v>0</v>
      </c>
    </row>
    <row r="150" spans="1:5" x14ac:dyDescent="0.2">
      <c r="A150" s="560" t="s">
        <v>1006</v>
      </c>
      <c r="B150" s="560" t="s">
        <v>1005</v>
      </c>
      <c r="C150" s="560">
        <v>2900</v>
      </c>
      <c r="D150" s="560">
        <v>6200</v>
      </c>
      <c r="E150" s="561">
        <f>SUMIFS('Accounting data'!$G$2:$G$37000,'Accounting data'!$H$2:$H$37000,"9999*",'Accounting data'!$J$2:$J$37000,"29*",'Accounting data'!$K$2:$K$37000,"62*")</f>
        <v>0</v>
      </c>
    </row>
    <row r="151" spans="1:5" x14ac:dyDescent="0.2">
      <c r="A151" s="560" t="s">
        <v>1005</v>
      </c>
      <c r="B151" s="560" t="s">
        <v>1007</v>
      </c>
      <c r="C151" s="560">
        <v>2900</v>
      </c>
      <c r="D151" s="560">
        <v>6200</v>
      </c>
      <c r="E151" s="561">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2" t="s">
        <v>1006</v>
      </c>
      <c r="B152" s="560" t="s">
        <v>1007</v>
      </c>
      <c r="C152" s="560">
        <v>2900</v>
      </c>
      <c r="D152" s="560">
        <v>6200</v>
      </c>
      <c r="E152" s="561">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0"/>
      <c r="B153" s="560"/>
      <c r="C153" s="560"/>
      <c r="D153" s="560"/>
      <c r="E153" s="561"/>
    </row>
    <row r="154" spans="1:5" x14ac:dyDescent="0.2">
      <c r="A154" s="560"/>
      <c r="B154" s="560"/>
      <c r="C154" s="560"/>
      <c r="D154" s="560"/>
      <c r="E154" s="561"/>
    </row>
    <row r="155" spans="1:5" ht="15" x14ac:dyDescent="0.25">
      <c r="A155" s="563" t="s">
        <v>1029</v>
      </c>
      <c r="B155" s="563"/>
      <c r="C155" s="563"/>
      <c r="D155" s="563"/>
      <c r="E155" s="564">
        <f>(E149-E150-E151)+(E152+E153+E154)</f>
        <v>0</v>
      </c>
    </row>
    <row r="156" spans="1:5" x14ac:dyDescent="0.2">
      <c r="A156" s="560" t="s">
        <v>1005</v>
      </c>
      <c r="B156" s="560" t="s">
        <v>1005</v>
      </c>
      <c r="C156" s="560">
        <v>2600</v>
      </c>
      <c r="D156" s="560">
        <v>6200</v>
      </c>
      <c r="E156" s="561">
        <f>SUMIFS('Accounting data'!$G$2:$G$37000,'Accounting data'!$J$2:$J$37000,"26*",'Accounting data'!$K$2:$K$37000,"62*")</f>
        <v>14990</v>
      </c>
    </row>
    <row r="157" spans="1:5" x14ac:dyDescent="0.2">
      <c r="A157" s="560" t="s">
        <v>1006</v>
      </c>
      <c r="B157" s="560" t="s">
        <v>1005</v>
      </c>
      <c r="C157" s="560">
        <v>2600</v>
      </c>
      <c r="D157" s="560">
        <v>6200</v>
      </c>
      <c r="E157" s="561">
        <f>SUMIFS('Accounting data'!$G$2:$G$37000,'Accounting data'!$H$2:$H$37000,"9999*",'Accounting data'!$J$2:$J$37000,"26*",'Accounting data'!$K$2:$K$37000,"62*")</f>
        <v>0</v>
      </c>
    </row>
    <row r="158" spans="1:5" x14ac:dyDescent="0.2">
      <c r="A158" s="560" t="s">
        <v>1005</v>
      </c>
      <c r="B158" s="560" t="s">
        <v>1007</v>
      </c>
      <c r="C158" s="560">
        <v>2600</v>
      </c>
      <c r="D158" s="560">
        <v>6200</v>
      </c>
      <c r="E158" s="561">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2" t="s">
        <v>1006</v>
      </c>
      <c r="B159" s="560" t="s">
        <v>1007</v>
      </c>
      <c r="C159" s="560">
        <v>2600</v>
      </c>
      <c r="D159" s="560">
        <v>6200</v>
      </c>
      <c r="E159" s="561">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0"/>
      <c r="B160" s="560"/>
      <c r="C160" s="560"/>
      <c r="D160" s="560"/>
      <c r="E160" s="561"/>
    </row>
    <row r="161" spans="1:5" x14ac:dyDescent="0.2">
      <c r="A161" s="560"/>
      <c r="B161" s="560"/>
      <c r="C161" s="560"/>
      <c r="D161" s="560"/>
      <c r="E161" s="561"/>
    </row>
    <row r="162" spans="1:5" ht="15" x14ac:dyDescent="0.25">
      <c r="A162" s="563" t="s">
        <v>1030</v>
      </c>
      <c r="B162" s="563"/>
      <c r="C162" s="563"/>
      <c r="D162" s="563"/>
      <c r="E162" s="564">
        <f>(E156-E157-E158)+(E159+E160+E161)</f>
        <v>14990</v>
      </c>
    </row>
    <row r="163" spans="1:5" x14ac:dyDescent="0.2">
      <c r="A163" s="560" t="s">
        <v>1005</v>
      </c>
      <c r="B163" s="560" t="s">
        <v>1005</v>
      </c>
      <c r="C163" s="560">
        <v>2700</v>
      </c>
      <c r="D163" s="560">
        <v>6200</v>
      </c>
      <c r="E163" s="561">
        <f>SUMIFS('Accounting data'!$G$2:$G$37000,'Accounting data'!$J$2:$J$37000,"27*",'Accounting data'!$K$2:$K$37000,"62*")</f>
        <v>163</v>
      </c>
    </row>
    <row r="164" spans="1:5" x14ac:dyDescent="0.2">
      <c r="A164" s="560" t="s">
        <v>1006</v>
      </c>
      <c r="B164" s="560" t="s">
        <v>1005</v>
      </c>
      <c r="C164" s="560">
        <v>2700</v>
      </c>
      <c r="D164" s="560">
        <v>6200</v>
      </c>
      <c r="E164" s="561">
        <f>SUMIFS('Accounting data'!$G$2:$G$37000,'Accounting data'!$H$2:$H$37000,"9999*",'Accounting data'!$J$2:$J$37000,"27*",'Accounting data'!$K$2:$K$37000,"62*")</f>
        <v>0</v>
      </c>
    </row>
    <row r="165" spans="1:5" x14ac:dyDescent="0.2">
      <c r="A165" s="560" t="s">
        <v>1005</v>
      </c>
      <c r="B165" s="560" t="s">
        <v>1007</v>
      </c>
      <c r="C165" s="560">
        <v>2700</v>
      </c>
      <c r="D165" s="560">
        <v>6200</v>
      </c>
      <c r="E165" s="561">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2" t="s">
        <v>1006</v>
      </c>
      <c r="B166" s="560" t="s">
        <v>1007</v>
      </c>
      <c r="C166" s="560">
        <v>2700</v>
      </c>
      <c r="D166" s="560">
        <v>6200</v>
      </c>
      <c r="E166" s="561">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0"/>
      <c r="B167" s="560"/>
      <c r="C167" s="560"/>
      <c r="D167" s="560"/>
      <c r="E167" s="561"/>
    </row>
    <row r="168" spans="1:5" x14ac:dyDescent="0.2">
      <c r="A168" s="560"/>
      <c r="B168" s="560"/>
      <c r="C168" s="560"/>
      <c r="D168" s="560"/>
      <c r="E168" s="561"/>
    </row>
    <row r="169" spans="1:5" ht="15" x14ac:dyDescent="0.25">
      <c r="A169" s="563" t="s">
        <v>1031</v>
      </c>
      <c r="B169" s="563"/>
      <c r="C169" s="563"/>
      <c r="D169" s="563"/>
      <c r="E169" s="564">
        <f>(E163-E164-E165)+(E166+E167+E168)</f>
        <v>163</v>
      </c>
    </row>
    <row r="170" spans="1:5" x14ac:dyDescent="0.2">
      <c r="A170" s="560" t="s">
        <v>1005</v>
      </c>
      <c r="B170" s="560" t="s">
        <v>1005</v>
      </c>
      <c r="C170" s="560">
        <v>3100</v>
      </c>
      <c r="D170" s="560">
        <v>6200</v>
      </c>
      <c r="E170" s="561">
        <f>SUMIFS('Accounting data'!$G$2:$G$37000,'Accounting data'!$J$2:$J$37000,"31*",'Accounting data'!$K$2:$K$37000,"62*")</f>
        <v>2825</v>
      </c>
    </row>
    <row r="171" spans="1:5" x14ac:dyDescent="0.2">
      <c r="A171" s="560" t="s">
        <v>1006</v>
      </c>
      <c r="B171" s="560" t="s">
        <v>1005</v>
      </c>
      <c r="C171" s="560">
        <v>3100</v>
      </c>
      <c r="D171" s="560">
        <v>6200</v>
      </c>
      <c r="E171" s="561">
        <f>SUMIFS('Accounting data'!$G$2:$G$37000,'Accounting data'!$H$2:$H$37000,"9999*",'Accounting data'!$J$2:$J$37000,"31*",'Accounting data'!$K$2:$K$37000,"62*")</f>
        <v>0</v>
      </c>
    </row>
    <row r="172" spans="1:5" x14ac:dyDescent="0.2">
      <c r="A172" s="560" t="s">
        <v>1005</v>
      </c>
      <c r="B172" s="560" t="s">
        <v>1007</v>
      </c>
      <c r="C172" s="560">
        <v>3100</v>
      </c>
      <c r="D172" s="560">
        <v>6200</v>
      </c>
      <c r="E172" s="561">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2" t="s">
        <v>1006</v>
      </c>
      <c r="B173" s="560" t="s">
        <v>1007</v>
      </c>
      <c r="C173" s="560">
        <v>3100</v>
      </c>
      <c r="D173" s="560">
        <v>6200</v>
      </c>
      <c r="E173" s="561">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0"/>
      <c r="B174" s="560"/>
      <c r="C174" s="560"/>
      <c r="D174" s="560"/>
      <c r="E174" s="561"/>
    </row>
    <row r="175" spans="1:5" x14ac:dyDescent="0.2">
      <c r="A175" s="560"/>
      <c r="B175" s="560"/>
      <c r="C175" s="560"/>
      <c r="D175" s="560"/>
      <c r="E175" s="561"/>
    </row>
    <row r="176" spans="1:5" ht="15" x14ac:dyDescent="0.25">
      <c r="A176" s="563" t="s">
        <v>1032</v>
      </c>
      <c r="B176" s="563"/>
      <c r="C176" s="563"/>
      <c r="D176" s="563"/>
      <c r="E176" s="564">
        <f>(E170-E171-E172)+(E173+E174+E175)</f>
        <v>2825</v>
      </c>
    </row>
    <row r="177" spans="1:5" x14ac:dyDescent="0.2">
      <c r="A177" s="560"/>
      <c r="B177" s="560"/>
      <c r="C177" s="560"/>
      <c r="D177" s="560"/>
      <c r="E177" s="561"/>
    </row>
    <row r="178" spans="1:5" x14ac:dyDescent="0.2">
      <c r="A178" s="560"/>
      <c r="B178" s="560"/>
      <c r="C178" s="560"/>
      <c r="D178" s="560"/>
      <c r="E178" s="561"/>
    </row>
    <row r="179" spans="1:5" x14ac:dyDescent="0.2">
      <c r="A179" s="560"/>
      <c r="B179" s="560"/>
      <c r="C179" s="560"/>
      <c r="D179" s="560"/>
      <c r="E179" s="561"/>
    </row>
    <row r="180" spans="1:5" x14ac:dyDescent="0.2">
      <c r="A180" s="562"/>
      <c r="B180" s="560"/>
      <c r="C180" s="560"/>
      <c r="D180" s="560"/>
      <c r="E180" s="561"/>
    </row>
    <row r="181" spans="1:5" x14ac:dyDescent="0.2">
      <c r="A181" s="560"/>
      <c r="B181" s="560"/>
      <c r="C181" s="560"/>
      <c r="D181" s="560"/>
      <c r="E181" s="561"/>
    </row>
    <row r="182" spans="1:5" x14ac:dyDescent="0.2">
      <c r="A182" s="560"/>
      <c r="B182" s="560"/>
      <c r="C182" s="560"/>
      <c r="D182" s="560"/>
      <c r="E182" s="561"/>
    </row>
    <row r="183" spans="1:5" ht="15" x14ac:dyDescent="0.25">
      <c r="A183" s="563"/>
      <c r="B183" s="563"/>
      <c r="C183" s="563"/>
      <c r="D183" s="563"/>
      <c r="E183" s="564"/>
    </row>
    <row r="184" spans="1:5" x14ac:dyDescent="0.2">
      <c r="A184" s="560" t="s">
        <v>1005</v>
      </c>
      <c r="B184" s="560" t="s">
        <v>1005</v>
      </c>
      <c r="C184" s="560">
        <v>3400</v>
      </c>
      <c r="D184" s="560">
        <v>6200</v>
      </c>
      <c r="E184" s="561">
        <f>SUMIFS('Accounting data'!$G$2:$G$37000,'Accounting data'!$J$2:$J$37000,"34*",'Accounting data'!$K$2:$K$37000,"62*")</f>
        <v>0</v>
      </c>
    </row>
    <row r="185" spans="1:5" x14ac:dyDescent="0.2">
      <c r="A185" s="560" t="s">
        <v>1006</v>
      </c>
      <c r="B185" s="560" t="s">
        <v>1005</v>
      </c>
      <c r="C185" s="560">
        <v>3400</v>
      </c>
      <c r="D185" s="560">
        <v>6200</v>
      </c>
      <c r="E185" s="561">
        <f>SUMIFS('Accounting data'!$G$2:$G$37000,'Accounting data'!$H$2:$H$37000,"9999*",'Accounting data'!$J$2:$J$37000,"34*",'Accounting data'!$K$2:$K$37000,"62*")</f>
        <v>0</v>
      </c>
    </row>
    <row r="186" spans="1:5" x14ac:dyDescent="0.2">
      <c r="A186" s="560" t="s">
        <v>1005</v>
      </c>
      <c r="B186" s="560" t="s">
        <v>1007</v>
      </c>
      <c r="C186" s="560">
        <v>3400</v>
      </c>
      <c r="D186" s="560">
        <v>6200</v>
      </c>
      <c r="E186" s="561">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2" t="s">
        <v>1006</v>
      </c>
      <c r="B187" s="560" t="s">
        <v>1007</v>
      </c>
      <c r="C187" s="560">
        <v>3400</v>
      </c>
      <c r="D187" s="560">
        <v>6200</v>
      </c>
      <c r="E187" s="561">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0"/>
      <c r="B188" s="560"/>
      <c r="C188" s="560"/>
      <c r="D188" s="560"/>
      <c r="E188" s="561"/>
    </row>
    <row r="189" spans="1:5" x14ac:dyDescent="0.2">
      <c r="A189" s="560"/>
      <c r="B189" s="560"/>
      <c r="C189" s="560"/>
      <c r="D189" s="560"/>
      <c r="E189" s="561"/>
    </row>
    <row r="190" spans="1:5" ht="15" x14ac:dyDescent="0.25">
      <c r="A190" s="563" t="s">
        <v>1033</v>
      </c>
      <c r="B190" s="563"/>
      <c r="C190" s="563"/>
      <c r="D190" s="563"/>
      <c r="E190" s="564">
        <f>(E184-E185-E186)+(E187+E188+E189)</f>
        <v>0</v>
      </c>
    </row>
    <row r="191" spans="1:5" x14ac:dyDescent="0.2">
      <c r="A191" s="560" t="s">
        <v>1005</v>
      </c>
      <c r="B191" s="560" t="s">
        <v>1005</v>
      </c>
      <c r="C191" s="560">
        <v>4000</v>
      </c>
      <c r="D191" s="560">
        <v>6200</v>
      </c>
      <c r="E191" s="561">
        <f>SUMIFS('Accounting data'!$G$2:$G$37000,'Accounting data'!$J$2:$J$37000,"4*",'Accounting data'!$K$2:$K$37000,"62*")</f>
        <v>0</v>
      </c>
    </row>
    <row r="192" spans="1:5" x14ac:dyDescent="0.2">
      <c r="A192" s="560" t="s">
        <v>1006</v>
      </c>
      <c r="B192" s="560" t="s">
        <v>1005</v>
      </c>
      <c r="C192" s="560">
        <v>4000</v>
      </c>
      <c r="D192" s="560">
        <v>6200</v>
      </c>
      <c r="E192" s="561">
        <f>SUMIFS('Accounting data'!$G$2:$G$37000,'Accounting data'!$H$2:$H$37000,"9999*",'Accounting data'!$J$2:$J$37000,"4*",'Accounting data'!$K$2:$K$37000,"62*")</f>
        <v>0</v>
      </c>
    </row>
    <row r="193" spans="1:5" x14ac:dyDescent="0.2">
      <c r="A193" s="560" t="s">
        <v>1005</v>
      </c>
      <c r="B193" s="560" t="s">
        <v>1007</v>
      </c>
      <c r="C193" s="560">
        <v>4000</v>
      </c>
      <c r="D193" s="560">
        <v>6200</v>
      </c>
      <c r="E193" s="561">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2" t="s">
        <v>1006</v>
      </c>
      <c r="B194" s="560" t="s">
        <v>1007</v>
      </c>
      <c r="C194" s="560">
        <v>4000</v>
      </c>
      <c r="D194" s="560">
        <v>6200</v>
      </c>
      <c r="E194" s="561">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0"/>
      <c r="B195" s="560"/>
      <c r="C195" s="560"/>
      <c r="D195" s="560"/>
      <c r="E195" s="561"/>
    </row>
    <row r="196" spans="1:5" x14ac:dyDescent="0.2">
      <c r="A196" s="560"/>
      <c r="B196" s="560"/>
      <c r="C196" s="560"/>
      <c r="D196" s="560"/>
      <c r="E196" s="561"/>
    </row>
    <row r="197" spans="1:5" ht="15" x14ac:dyDescent="0.25">
      <c r="A197" s="563" t="s">
        <v>1034</v>
      </c>
      <c r="B197" s="563"/>
      <c r="C197" s="563"/>
      <c r="D197" s="563"/>
      <c r="E197" s="564">
        <f>(E191-E192-E193)+(E194+E195+E196)</f>
        <v>0</v>
      </c>
    </row>
    <row r="198" spans="1:5" ht="15" x14ac:dyDescent="0.25">
      <c r="A198" s="566" t="s">
        <v>1035</v>
      </c>
      <c r="B198" s="566"/>
      <c r="C198" s="566"/>
      <c r="D198" s="566"/>
      <c r="E198" s="567">
        <f>E113+E120+E127+E134+E141+E148+E155+E162+E169+E176+E183+E190</f>
        <v>902909</v>
      </c>
    </row>
    <row r="199" spans="1:5" ht="15" x14ac:dyDescent="0.25">
      <c r="A199" s="560" t="s">
        <v>1021</v>
      </c>
      <c r="B199" s="560" t="s">
        <v>1005</v>
      </c>
      <c r="C199" s="560">
        <v>1000</v>
      </c>
      <c r="D199" s="560">
        <v>6200</v>
      </c>
      <c r="E199" s="568">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102366</v>
      </c>
    </row>
    <row r="200" spans="1:5" ht="15" x14ac:dyDescent="0.25">
      <c r="A200" s="560" t="s">
        <v>1021</v>
      </c>
      <c r="B200" s="560" t="s">
        <v>1005</v>
      </c>
      <c r="C200" s="560">
        <v>2000</v>
      </c>
      <c r="D200" s="560">
        <v>6200</v>
      </c>
      <c r="E200" s="568">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40076</v>
      </c>
    </row>
    <row r="201" spans="1:5" ht="15" x14ac:dyDescent="0.25">
      <c r="A201" s="560" t="s">
        <v>1021</v>
      </c>
      <c r="B201" s="560" t="s">
        <v>1005</v>
      </c>
      <c r="C201" s="560">
        <v>3000</v>
      </c>
      <c r="D201" s="560">
        <v>6200</v>
      </c>
      <c r="E201" s="568">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0" t="s">
        <v>1021</v>
      </c>
      <c r="B202" s="562">
        <v>700</v>
      </c>
      <c r="C202" s="560">
        <v>1000</v>
      </c>
      <c r="D202" s="560">
        <v>6200</v>
      </c>
      <c r="E202" s="568">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0" t="s">
        <v>1021</v>
      </c>
      <c r="B203" s="562">
        <v>800</v>
      </c>
      <c r="C203" s="560">
        <v>1000</v>
      </c>
      <c r="D203" s="560">
        <v>6200</v>
      </c>
      <c r="E203" s="568">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0" t="s">
        <v>1021</v>
      </c>
      <c r="B204" s="562">
        <v>900</v>
      </c>
      <c r="C204" s="560">
        <v>1000</v>
      </c>
      <c r="D204" s="560">
        <v>6200</v>
      </c>
      <c r="E204" s="568">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0" t="s">
        <v>1021</v>
      </c>
      <c r="B205" s="562">
        <v>700</v>
      </c>
      <c r="C205" s="560">
        <v>2000</v>
      </c>
      <c r="D205" s="560">
        <v>6200</v>
      </c>
      <c r="E205" s="568">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0" t="s">
        <v>1021</v>
      </c>
      <c r="B206" s="562">
        <v>800</v>
      </c>
      <c r="C206" s="560">
        <v>2000</v>
      </c>
      <c r="D206" s="560">
        <v>6200</v>
      </c>
      <c r="E206" s="568">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0" t="s">
        <v>1021</v>
      </c>
      <c r="B207" s="562">
        <v>900</v>
      </c>
      <c r="C207" s="560">
        <v>2000</v>
      </c>
      <c r="D207" s="560">
        <v>6200</v>
      </c>
      <c r="E207" s="568">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0" t="s">
        <v>1021</v>
      </c>
      <c r="B208" s="562">
        <v>700</v>
      </c>
      <c r="C208" s="560">
        <v>3000</v>
      </c>
      <c r="D208" s="560">
        <v>6200</v>
      </c>
      <c r="E208" s="568">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0" t="s">
        <v>1021</v>
      </c>
      <c r="B209" s="562">
        <v>800</v>
      </c>
      <c r="C209" s="560">
        <v>3000</v>
      </c>
      <c r="D209" s="560">
        <v>6200</v>
      </c>
      <c r="E209" s="568">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0" t="s">
        <v>1021</v>
      </c>
      <c r="B210" s="562">
        <v>900</v>
      </c>
      <c r="C210" s="560">
        <v>3000</v>
      </c>
      <c r="D210" s="560">
        <v>6200</v>
      </c>
      <c r="E210" s="568">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3" t="s">
        <v>1036</v>
      </c>
      <c r="B211" s="563"/>
      <c r="C211" s="563"/>
      <c r="D211" s="563"/>
      <c r="E211" s="564">
        <f>(E199+E200+E201)-(E202+E203+E204+E205+E206+E207+E208+E209+E210)</f>
        <v>142442</v>
      </c>
    </row>
    <row r="212" spans="1:5" ht="15" x14ac:dyDescent="0.25">
      <c r="A212" s="560" t="s">
        <v>1005</v>
      </c>
      <c r="B212" s="560" t="s">
        <v>1005</v>
      </c>
      <c r="C212" s="560">
        <v>1000</v>
      </c>
      <c r="D212" s="569" t="s">
        <v>1037</v>
      </c>
      <c r="E212" s="568">
        <f>SUMIFS('Accounting data'!$G$2:$G$37000,'Accounting data'!$J$2:$J$37000,"1*",'Accounting data'!$K$2:$K$37000,"63*")+SUMIFS('Accounting data'!$G$2:$G$37000,'Accounting data'!$J$2:$J$37000,"1*",'Accounting data'!$K$2:$K$37000,"64*")+SUMIFS('Accounting data'!$G$2:$G$37000,'Accounting data'!$J$2:$J$37000,"1*",'Accounting data'!$K$2:$K$37000,"65*")</f>
        <v>160639</v>
      </c>
    </row>
    <row r="213" spans="1:5" ht="15" x14ac:dyDescent="0.25">
      <c r="A213" s="560" t="s">
        <v>1006</v>
      </c>
      <c r="B213" s="560" t="s">
        <v>1005</v>
      </c>
      <c r="C213" s="560">
        <v>1000</v>
      </c>
      <c r="D213" s="560">
        <v>6300</v>
      </c>
      <c r="E213" s="568">
        <f>SUMIFS('Accounting data'!$G$2:$G$37000,'Accounting data'!$H$2:$H$37000,"9999*",'Accounting data'!$J$2:$J$37000,"1*",'Accounting data'!$K$2:$K$37000,"63*")</f>
        <v>0</v>
      </c>
    </row>
    <row r="214" spans="1:5" ht="15" x14ac:dyDescent="0.25">
      <c r="A214" s="560" t="s">
        <v>1006</v>
      </c>
      <c r="B214" s="560" t="s">
        <v>1005</v>
      </c>
      <c r="C214" s="560">
        <v>1000</v>
      </c>
      <c r="D214" s="560">
        <v>6400</v>
      </c>
      <c r="E214" s="568">
        <f>SUMIFS('Accounting data'!$G$2:$G$37000,'Accounting data'!$H$2:$H$37000,"9999*",'Accounting data'!$J$2:$J$37000,"1*",'Accounting data'!$K$2:$K$37000,"64*")</f>
        <v>0</v>
      </c>
    </row>
    <row r="215" spans="1:5" ht="15" x14ac:dyDescent="0.25">
      <c r="A215" s="560" t="s">
        <v>1006</v>
      </c>
      <c r="B215" s="560" t="s">
        <v>1005</v>
      </c>
      <c r="C215" s="560">
        <v>1000</v>
      </c>
      <c r="D215" s="560">
        <v>6500</v>
      </c>
      <c r="E215" s="568">
        <f>SUMIFS('Accounting data'!$G$2:$G$37000,'Accounting data'!$H$2:$H$37000,"9999*",'Accounting data'!$J$2:$J$37000,"1*",'Accounting data'!$K$2:$K$37000,"65*")</f>
        <v>0</v>
      </c>
    </row>
    <row r="216" spans="1:5" ht="15" x14ac:dyDescent="0.25">
      <c r="A216" s="560" t="s">
        <v>1005</v>
      </c>
      <c r="B216" s="560" t="s">
        <v>1007</v>
      </c>
      <c r="C216" s="560">
        <v>1000</v>
      </c>
      <c r="D216" s="569" t="s">
        <v>1037</v>
      </c>
      <c r="E216" s="568">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2" t="s">
        <v>1006</v>
      </c>
      <c r="B217" s="560" t="s">
        <v>1007</v>
      </c>
      <c r="C217" s="560">
        <v>1000</v>
      </c>
      <c r="D217" s="560">
        <v>6300</v>
      </c>
      <c r="E217" s="568">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2" t="s">
        <v>1006</v>
      </c>
      <c r="B218" s="560" t="s">
        <v>1007</v>
      </c>
      <c r="C218" s="560">
        <v>1000</v>
      </c>
      <c r="D218" s="560">
        <v>6400</v>
      </c>
      <c r="E218" s="568">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2" t="s">
        <v>1006</v>
      </c>
      <c r="B219" s="560" t="s">
        <v>1007</v>
      </c>
      <c r="C219" s="560">
        <v>1000</v>
      </c>
      <c r="D219" s="560">
        <v>6500</v>
      </c>
      <c r="E219" s="568">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2"/>
      <c r="B220" s="560"/>
      <c r="C220" s="560"/>
      <c r="D220" s="560"/>
      <c r="E220" s="561"/>
    </row>
    <row r="221" spans="1:5" x14ac:dyDescent="0.2">
      <c r="A221" s="562"/>
      <c r="B221" s="560"/>
      <c r="C221" s="560"/>
      <c r="D221" s="560"/>
      <c r="E221" s="561"/>
    </row>
    <row r="222" spans="1:5" x14ac:dyDescent="0.2">
      <c r="A222" s="562"/>
      <c r="B222" s="560"/>
      <c r="C222" s="560"/>
      <c r="D222" s="560"/>
      <c r="E222" s="561"/>
    </row>
    <row r="223" spans="1:5" x14ac:dyDescent="0.2">
      <c r="A223" s="562"/>
      <c r="B223" s="560"/>
      <c r="C223" s="560"/>
      <c r="D223" s="560"/>
      <c r="E223" s="561"/>
    </row>
    <row r="224" spans="1:5" x14ac:dyDescent="0.2">
      <c r="A224" s="562"/>
      <c r="B224" s="560"/>
      <c r="C224" s="560"/>
      <c r="D224" s="560"/>
      <c r="E224" s="561"/>
    </row>
    <row r="225" spans="1:5" x14ac:dyDescent="0.2">
      <c r="A225" s="562"/>
      <c r="B225" s="560"/>
      <c r="C225" s="560"/>
      <c r="D225" s="560"/>
      <c r="E225" s="561"/>
    </row>
    <row r="226" spans="1:5" x14ac:dyDescent="0.2">
      <c r="A226" s="562"/>
      <c r="B226" s="560"/>
      <c r="C226" s="560"/>
      <c r="D226" s="560"/>
      <c r="E226" s="561"/>
    </row>
    <row r="227" spans="1:5" x14ac:dyDescent="0.2">
      <c r="A227" s="560"/>
      <c r="B227" s="560"/>
      <c r="C227" s="560"/>
      <c r="D227" s="560"/>
      <c r="E227" s="561"/>
    </row>
    <row r="228" spans="1:5" x14ac:dyDescent="0.2">
      <c r="A228" s="562"/>
      <c r="B228" s="560"/>
      <c r="C228" s="560"/>
      <c r="D228" s="560"/>
      <c r="E228" s="561"/>
    </row>
    <row r="229" spans="1:5" x14ac:dyDescent="0.2">
      <c r="A229" s="562"/>
      <c r="B229" s="560"/>
      <c r="C229" s="560"/>
      <c r="D229" s="560"/>
      <c r="E229" s="561"/>
    </row>
    <row r="230" spans="1:5" x14ac:dyDescent="0.2">
      <c r="A230" s="562"/>
      <c r="B230" s="560"/>
      <c r="C230" s="560"/>
      <c r="D230" s="560"/>
      <c r="E230" s="561"/>
    </row>
    <row r="231" spans="1:5" x14ac:dyDescent="0.2">
      <c r="A231" s="562"/>
      <c r="B231" s="560"/>
      <c r="C231" s="560"/>
      <c r="D231" s="560"/>
      <c r="E231" s="561"/>
    </row>
    <row r="232" spans="1:5" x14ac:dyDescent="0.2">
      <c r="A232" s="562"/>
      <c r="B232" s="560"/>
      <c r="C232" s="560"/>
      <c r="D232" s="560"/>
      <c r="E232" s="561"/>
    </row>
    <row r="233" spans="1:5" x14ac:dyDescent="0.2">
      <c r="A233" s="560"/>
      <c r="B233" s="560"/>
      <c r="C233" s="560"/>
      <c r="D233" s="560"/>
      <c r="E233" s="561"/>
    </row>
    <row r="234" spans="1:5" x14ac:dyDescent="0.2">
      <c r="A234" s="562"/>
      <c r="B234" s="560"/>
      <c r="C234" s="560"/>
      <c r="D234" s="560"/>
      <c r="E234" s="561"/>
    </row>
    <row r="235" spans="1:5" x14ac:dyDescent="0.2">
      <c r="A235" s="562"/>
      <c r="B235" s="560"/>
      <c r="C235" s="560"/>
      <c r="D235" s="560"/>
      <c r="E235" s="561"/>
    </row>
    <row r="236" spans="1:5" x14ac:dyDescent="0.2">
      <c r="A236" s="562"/>
      <c r="B236" s="560"/>
      <c r="C236" s="560"/>
      <c r="D236" s="560"/>
      <c r="E236" s="561"/>
    </row>
    <row r="237" spans="1:5" x14ac:dyDescent="0.2">
      <c r="A237" s="562"/>
      <c r="B237" s="560"/>
      <c r="C237" s="560"/>
      <c r="D237" s="560"/>
      <c r="E237" s="561"/>
    </row>
    <row r="238" spans="1:5" ht="15" x14ac:dyDescent="0.25">
      <c r="A238" s="563" t="s">
        <v>1038</v>
      </c>
      <c r="B238" s="563"/>
      <c r="C238" s="563"/>
      <c r="D238" s="563"/>
      <c r="E238" s="564">
        <f>((E212-E213-E214-E215-E216)+(E217+E218+E219+E220+E221+E222+E223+E224+E225))-((E226-E227-E228)+(E229+E230+E231))-((E232-E233-E234)+(E235+E236+E237))</f>
        <v>160639</v>
      </c>
    </row>
    <row r="239" spans="1:5" x14ac:dyDescent="0.2">
      <c r="A239" s="560" t="s">
        <v>1005</v>
      </c>
      <c r="B239" s="560" t="s">
        <v>1005</v>
      </c>
      <c r="C239" s="560">
        <v>2100</v>
      </c>
      <c r="D239" s="569" t="s">
        <v>1037</v>
      </c>
      <c r="E239" s="561">
        <f>SUMIFS('Accounting data'!$G$2:$G$37000,'Accounting data'!$J$2:$J$37000,"21*",'Accounting data'!$K$2:$K$37000,"63*")+SUMIFS('Accounting data'!$G$2:$G$37000,'Accounting data'!$J$2:$J$37000,"21*",'Accounting data'!$K$2:$K$37000,"64*")+SUMIFS('Accounting data'!$G$2:$G$37000,'Accounting data'!$J$2:$J$37000,"21*",'Accounting data'!$K$2:$K$37000,"65*")</f>
        <v>184296</v>
      </c>
    </row>
    <row r="240" spans="1:5" x14ac:dyDescent="0.2">
      <c r="A240" s="560" t="s">
        <v>1006</v>
      </c>
      <c r="B240" s="560" t="s">
        <v>1005</v>
      </c>
      <c r="C240" s="560">
        <v>2100</v>
      </c>
      <c r="D240" s="560">
        <v>6300</v>
      </c>
      <c r="E240" s="561">
        <f>SUMIFS('Accounting data'!$G$2:$G$37000,'Accounting data'!$H$2:$H$37000,"9999*",'Accounting data'!$J$2:$J$37000,"21*",'Accounting data'!$K$2:$K$37000,"63*")</f>
        <v>0</v>
      </c>
    </row>
    <row r="241" spans="1:5" x14ac:dyDescent="0.2">
      <c r="A241" s="560" t="s">
        <v>1006</v>
      </c>
      <c r="B241" s="560" t="s">
        <v>1005</v>
      </c>
      <c r="C241" s="560">
        <v>2100</v>
      </c>
      <c r="D241" s="560">
        <v>6400</v>
      </c>
      <c r="E241" s="561">
        <f>SUMIFS('Accounting data'!$G$2:$G$37000,'Accounting data'!$H$2:$H$37000,"9999*",'Accounting data'!$J$2:$J$37000,"21*",'Accounting data'!$K$2:$K$37000,"64*")</f>
        <v>0</v>
      </c>
    </row>
    <row r="242" spans="1:5" x14ac:dyDescent="0.2">
      <c r="A242" s="560" t="s">
        <v>1006</v>
      </c>
      <c r="B242" s="560" t="s">
        <v>1005</v>
      </c>
      <c r="C242" s="560">
        <v>2100</v>
      </c>
      <c r="D242" s="560">
        <v>6500</v>
      </c>
      <c r="E242" s="561">
        <f>SUMIFS('Accounting data'!$G$2:$G$37000,'Accounting data'!$H$2:$H$37000,"9999*",'Accounting data'!$J$2:$J$37000,"21*",'Accounting data'!$K$2:$K$37000,"65*")</f>
        <v>0</v>
      </c>
    </row>
    <row r="243" spans="1:5" x14ac:dyDescent="0.2">
      <c r="A243" s="560" t="s">
        <v>1005</v>
      </c>
      <c r="B243" s="560" t="s">
        <v>1007</v>
      </c>
      <c r="C243" s="560">
        <v>2100</v>
      </c>
      <c r="D243" s="569" t="s">
        <v>1037</v>
      </c>
      <c r="E243" s="561">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2" t="s">
        <v>1006</v>
      </c>
      <c r="B244" s="560" t="s">
        <v>1007</v>
      </c>
      <c r="C244" s="560">
        <v>2100</v>
      </c>
      <c r="D244" s="560">
        <v>6300</v>
      </c>
      <c r="E244" s="561">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2" t="s">
        <v>1006</v>
      </c>
      <c r="B245" s="560" t="s">
        <v>1007</v>
      </c>
      <c r="C245" s="560">
        <v>2100</v>
      </c>
      <c r="D245" s="560">
        <v>6400</v>
      </c>
      <c r="E245" s="561">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2" t="s">
        <v>1006</v>
      </c>
      <c r="B246" s="560" t="s">
        <v>1007</v>
      </c>
      <c r="C246" s="560">
        <v>2100</v>
      </c>
      <c r="D246" s="560">
        <v>6500</v>
      </c>
      <c r="E246" s="561">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2"/>
      <c r="B247" s="560"/>
      <c r="C247" s="560"/>
      <c r="D247" s="560"/>
      <c r="E247" s="561"/>
    </row>
    <row r="248" spans="1:5" x14ac:dyDescent="0.2">
      <c r="A248" s="562"/>
      <c r="B248" s="560"/>
      <c r="C248" s="560"/>
      <c r="D248" s="560"/>
      <c r="E248" s="561"/>
    </row>
    <row r="249" spans="1:5" x14ac:dyDescent="0.2">
      <c r="A249" s="562"/>
      <c r="B249" s="560"/>
      <c r="C249" s="560"/>
      <c r="D249" s="560"/>
      <c r="E249" s="561"/>
    </row>
    <row r="250" spans="1:5" x14ac:dyDescent="0.2">
      <c r="A250" s="562"/>
      <c r="B250" s="560"/>
      <c r="C250" s="560"/>
      <c r="D250" s="560"/>
      <c r="E250" s="561"/>
    </row>
    <row r="251" spans="1:5" x14ac:dyDescent="0.2">
      <c r="A251" s="562"/>
      <c r="B251" s="560"/>
      <c r="C251" s="560"/>
      <c r="D251" s="560"/>
      <c r="E251" s="561"/>
    </row>
    <row r="252" spans="1:5" x14ac:dyDescent="0.2">
      <c r="A252" s="562"/>
      <c r="B252" s="560"/>
      <c r="C252" s="560"/>
      <c r="D252" s="560"/>
      <c r="E252" s="561"/>
    </row>
    <row r="253" spans="1:5" x14ac:dyDescent="0.2">
      <c r="A253" s="562"/>
      <c r="B253" s="560"/>
      <c r="C253" s="560"/>
      <c r="D253" s="560"/>
      <c r="E253" s="561"/>
    </row>
    <row r="254" spans="1:5" x14ac:dyDescent="0.2">
      <c r="A254" s="560"/>
      <c r="B254" s="560"/>
      <c r="C254" s="560"/>
      <c r="D254" s="560"/>
      <c r="E254" s="561"/>
    </row>
    <row r="255" spans="1:5" x14ac:dyDescent="0.2">
      <c r="A255" s="562"/>
      <c r="B255" s="560"/>
      <c r="C255" s="560"/>
      <c r="D255" s="560"/>
      <c r="E255" s="561"/>
    </row>
    <row r="256" spans="1:5" x14ac:dyDescent="0.2">
      <c r="A256" s="562"/>
      <c r="B256" s="560"/>
      <c r="C256" s="560"/>
      <c r="D256" s="560"/>
      <c r="E256" s="561"/>
    </row>
    <row r="257" spans="1:5" x14ac:dyDescent="0.2">
      <c r="A257" s="562"/>
      <c r="B257" s="560"/>
      <c r="C257" s="560"/>
      <c r="D257" s="560"/>
      <c r="E257" s="561"/>
    </row>
    <row r="258" spans="1:5" x14ac:dyDescent="0.2">
      <c r="A258" s="562"/>
      <c r="B258" s="560"/>
      <c r="C258" s="560"/>
      <c r="D258" s="560"/>
      <c r="E258" s="561"/>
    </row>
    <row r="259" spans="1:5" x14ac:dyDescent="0.2">
      <c r="A259" s="562"/>
      <c r="B259" s="560"/>
      <c r="C259" s="560"/>
      <c r="D259" s="560"/>
      <c r="E259" s="561"/>
    </row>
    <row r="260" spans="1:5" x14ac:dyDescent="0.2">
      <c r="A260" s="560"/>
      <c r="B260" s="560"/>
      <c r="C260" s="560"/>
      <c r="D260" s="560"/>
      <c r="E260" s="561"/>
    </row>
    <row r="261" spans="1:5" x14ac:dyDescent="0.2">
      <c r="A261" s="562"/>
      <c r="B261" s="560"/>
      <c r="C261" s="560"/>
      <c r="D261" s="560"/>
      <c r="E261" s="561"/>
    </row>
    <row r="262" spans="1:5" x14ac:dyDescent="0.2">
      <c r="A262" s="562"/>
      <c r="B262" s="560"/>
      <c r="C262" s="560"/>
      <c r="D262" s="560"/>
      <c r="E262" s="561"/>
    </row>
    <row r="263" spans="1:5" x14ac:dyDescent="0.2">
      <c r="A263" s="562"/>
      <c r="B263" s="560"/>
      <c r="C263" s="560"/>
      <c r="D263" s="560"/>
      <c r="E263" s="561"/>
    </row>
    <row r="264" spans="1:5" x14ac:dyDescent="0.2">
      <c r="A264" s="562"/>
      <c r="B264" s="560"/>
      <c r="C264" s="560"/>
      <c r="D264" s="560"/>
      <c r="E264" s="561"/>
    </row>
    <row r="265" spans="1:5" x14ac:dyDescent="0.2">
      <c r="A265" s="563" t="s">
        <v>1039</v>
      </c>
      <c r="B265" s="563"/>
      <c r="C265" s="563"/>
      <c r="D265" s="563"/>
      <c r="E265" s="565">
        <f>((E239-E240-E241-E242-E243)+(E244+E245+E246+E247+E248+E249+E250+E251+E252))-((E253-E254-E255)+(E256+E257+E258))-((E259-E260-E261)+(E262+E263+E264))</f>
        <v>184296</v>
      </c>
    </row>
    <row r="266" spans="1:5" x14ac:dyDescent="0.2">
      <c r="A266" s="560" t="s">
        <v>1005</v>
      </c>
      <c r="B266" s="560" t="s">
        <v>1005</v>
      </c>
      <c r="C266" s="560">
        <v>2200</v>
      </c>
      <c r="D266" s="569" t="s">
        <v>1037</v>
      </c>
      <c r="E266" s="561">
        <f>SUMIFS('Accounting data'!$G$2:$G$37000,'Accounting data'!$J$2:$J$37000,"22*",'Accounting data'!$K$2:$K$37000,"63*")+SUMIFS('Accounting data'!$G$2:$G$37000,'Accounting data'!$J$2:$J$37000,"22*",'Accounting data'!$K$2:$K$37000,"64*")+SUMIFS('Accounting data'!$G$2:$G$37000,'Accounting data'!$J$2:$J$37000,"22*",'Accounting data'!$K$2:$K$37000,"65*")</f>
        <v>8084</v>
      </c>
    </row>
    <row r="267" spans="1:5" x14ac:dyDescent="0.2">
      <c r="A267" s="560" t="s">
        <v>1006</v>
      </c>
      <c r="B267" s="560" t="s">
        <v>1005</v>
      </c>
      <c r="C267" s="560">
        <v>2200</v>
      </c>
      <c r="D267" s="560">
        <v>6300</v>
      </c>
      <c r="E267" s="561">
        <f>SUMIFS('Accounting data'!$G$2:$G$37000,'Accounting data'!$H$2:$H$37000,"9999*",'Accounting data'!$J$2:$J$37000,"22*",'Accounting data'!$K$2:$K$37000,"63*")</f>
        <v>0</v>
      </c>
    </row>
    <row r="268" spans="1:5" x14ac:dyDescent="0.2">
      <c r="A268" s="560" t="s">
        <v>1006</v>
      </c>
      <c r="B268" s="560" t="s">
        <v>1005</v>
      </c>
      <c r="C268" s="560">
        <v>2200</v>
      </c>
      <c r="D268" s="560">
        <v>6400</v>
      </c>
      <c r="E268" s="561">
        <f>SUMIFS('Accounting data'!$G$2:$G$37000,'Accounting data'!$H$2:$H$37000,"9999*",'Accounting data'!$J$2:$J$37000,"22*",'Accounting data'!$K$2:$K$37000,"64*")</f>
        <v>0</v>
      </c>
    </row>
    <row r="269" spans="1:5" x14ac:dyDescent="0.2">
      <c r="A269" s="560" t="s">
        <v>1006</v>
      </c>
      <c r="B269" s="560" t="s">
        <v>1005</v>
      </c>
      <c r="C269" s="560">
        <v>2200</v>
      </c>
      <c r="D269" s="560">
        <v>6500</v>
      </c>
      <c r="E269" s="561">
        <f>SUMIFS('Accounting data'!$G$2:$G$37000,'Accounting data'!$H$2:$H$37000,"9999*",'Accounting data'!$J$2:$J$37000,"22*",'Accounting data'!$K$2:$K$37000,"65*")</f>
        <v>0</v>
      </c>
    </row>
    <row r="270" spans="1:5" x14ac:dyDescent="0.2">
      <c r="A270" s="560" t="s">
        <v>1005</v>
      </c>
      <c r="B270" s="560" t="s">
        <v>1007</v>
      </c>
      <c r="C270" s="560">
        <v>2200</v>
      </c>
      <c r="D270" s="569" t="s">
        <v>1037</v>
      </c>
      <c r="E270" s="561">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2" t="s">
        <v>1006</v>
      </c>
      <c r="B271" s="560" t="s">
        <v>1007</v>
      </c>
      <c r="C271" s="560">
        <v>2200</v>
      </c>
      <c r="D271" s="560">
        <v>6300</v>
      </c>
      <c r="E271" s="561">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2" t="s">
        <v>1006</v>
      </c>
      <c r="B272" s="560" t="s">
        <v>1007</v>
      </c>
      <c r="C272" s="560">
        <v>2200</v>
      </c>
      <c r="D272" s="560">
        <v>6400</v>
      </c>
      <c r="E272" s="561">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2" t="s">
        <v>1006</v>
      </c>
      <c r="B273" s="560" t="s">
        <v>1007</v>
      </c>
      <c r="C273" s="560">
        <v>2200</v>
      </c>
      <c r="D273" s="560">
        <v>6500</v>
      </c>
      <c r="E273" s="561">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0"/>
      <c r="B274" s="560"/>
      <c r="C274" s="560"/>
      <c r="D274" s="560"/>
      <c r="E274" s="561"/>
    </row>
    <row r="275" spans="1:5" x14ac:dyDescent="0.2">
      <c r="A275" s="560"/>
      <c r="B275" s="560"/>
      <c r="C275" s="560"/>
      <c r="D275" s="560"/>
      <c r="E275" s="561"/>
    </row>
    <row r="276" spans="1:5" x14ac:dyDescent="0.2">
      <c r="A276" s="560"/>
      <c r="B276" s="560"/>
      <c r="C276" s="560"/>
      <c r="D276" s="560"/>
      <c r="E276" s="561"/>
    </row>
    <row r="277" spans="1:5" x14ac:dyDescent="0.2">
      <c r="A277" s="560"/>
      <c r="B277" s="560"/>
      <c r="C277" s="560"/>
      <c r="D277" s="560"/>
      <c r="E277" s="561"/>
    </row>
    <row r="278" spans="1:5" x14ac:dyDescent="0.2">
      <c r="A278" s="560"/>
      <c r="B278" s="560"/>
      <c r="C278" s="560"/>
      <c r="D278" s="560"/>
      <c r="E278" s="561"/>
    </row>
    <row r="279" spans="1:5" x14ac:dyDescent="0.2">
      <c r="A279" s="560"/>
      <c r="B279" s="560"/>
      <c r="C279" s="560"/>
      <c r="D279" s="560"/>
      <c r="E279" s="561"/>
    </row>
    <row r="280" spans="1:5" x14ac:dyDescent="0.2">
      <c r="A280" s="560"/>
      <c r="B280" s="560"/>
      <c r="C280" s="560"/>
      <c r="D280" s="560"/>
      <c r="E280" s="561"/>
    </row>
    <row r="281" spans="1:5" x14ac:dyDescent="0.2">
      <c r="A281" s="560"/>
      <c r="B281" s="560"/>
      <c r="C281" s="560"/>
      <c r="D281" s="560"/>
      <c r="E281" s="561"/>
    </row>
    <row r="282" spans="1:5" x14ac:dyDescent="0.2">
      <c r="A282" s="560"/>
      <c r="B282" s="560"/>
      <c r="C282" s="560"/>
      <c r="D282" s="560"/>
      <c r="E282" s="561"/>
    </row>
    <row r="283" spans="1:5" x14ac:dyDescent="0.2">
      <c r="A283" s="562"/>
      <c r="B283" s="560"/>
      <c r="C283" s="560"/>
      <c r="D283" s="560"/>
      <c r="E283" s="561"/>
    </row>
    <row r="284" spans="1:5" x14ac:dyDescent="0.2">
      <c r="A284" s="560"/>
      <c r="B284" s="560"/>
      <c r="C284" s="560"/>
      <c r="D284" s="560"/>
      <c r="E284" s="561"/>
    </row>
    <row r="285" spans="1:5" x14ac:dyDescent="0.2">
      <c r="A285" s="560"/>
      <c r="B285" s="560"/>
      <c r="C285" s="560"/>
      <c r="D285" s="560"/>
      <c r="E285" s="561"/>
    </row>
    <row r="286" spans="1:5" x14ac:dyDescent="0.2">
      <c r="A286" s="560"/>
      <c r="B286" s="560"/>
      <c r="C286" s="560"/>
      <c r="D286" s="560"/>
      <c r="E286" s="561"/>
    </row>
    <row r="287" spans="1:5" x14ac:dyDescent="0.2">
      <c r="A287" s="560"/>
      <c r="B287" s="560"/>
      <c r="C287" s="560"/>
      <c r="D287" s="560"/>
      <c r="E287" s="561"/>
    </row>
    <row r="288" spans="1:5" x14ac:dyDescent="0.2">
      <c r="A288" s="560"/>
      <c r="B288" s="560"/>
      <c r="C288" s="560"/>
      <c r="D288" s="560"/>
      <c r="E288" s="561"/>
    </row>
    <row r="289" spans="1:5" x14ac:dyDescent="0.2">
      <c r="A289" s="562"/>
      <c r="B289" s="560"/>
      <c r="C289" s="560"/>
      <c r="D289" s="560"/>
      <c r="E289" s="561"/>
    </row>
    <row r="290" spans="1:5" x14ac:dyDescent="0.2">
      <c r="A290" s="560"/>
      <c r="B290" s="560"/>
      <c r="C290" s="560"/>
      <c r="D290" s="560"/>
      <c r="E290" s="561"/>
    </row>
    <row r="291" spans="1:5" x14ac:dyDescent="0.2">
      <c r="A291" s="560"/>
      <c r="B291" s="560"/>
      <c r="C291" s="560"/>
      <c r="D291" s="560"/>
      <c r="E291" s="561"/>
    </row>
    <row r="292" spans="1:5" x14ac:dyDescent="0.2">
      <c r="A292" s="563" t="s">
        <v>1040</v>
      </c>
      <c r="B292" s="563"/>
      <c r="C292" s="563"/>
      <c r="D292" s="563"/>
      <c r="E292" s="565">
        <f>((E266-E267-E268-E269-E270)+(E271+E272+E273+E274+E275+E276+E277+E278+E279))-((E280-E281-E282)+(E283+E284+E285))-((E286-E287-E288)+(E289+E290+E291))</f>
        <v>8084</v>
      </c>
    </row>
    <row r="293" spans="1:5" x14ac:dyDescent="0.2">
      <c r="A293" s="560" t="s">
        <v>1005</v>
      </c>
      <c r="B293" s="560" t="s">
        <v>1005</v>
      </c>
      <c r="C293" s="560">
        <v>2300</v>
      </c>
      <c r="D293" s="569" t="s">
        <v>1037</v>
      </c>
      <c r="E293" s="561">
        <f>SUMIFS('Accounting data'!$G$2:$G$37000,'Accounting data'!$J$2:$J$37000,"23*",'Accounting data'!$K$2:$K$37000,"63*")+SUMIFS('Accounting data'!$G$2:$G$37000,'Accounting data'!$J$2:$J$37000,"23*",'Accounting data'!$K$2:$K$37000,"64*")+SUMIFS('Accounting data'!$G$2:$G$37000,'Accounting data'!$J$2:$J$37000,"23*",'Accounting data'!$K$2:$K$37000,"65*")</f>
        <v>4008</v>
      </c>
    </row>
    <row r="294" spans="1:5" x14ac:dyDescent="0.2">
      <c r="A294" s="560" t="s">
        <v>1006</v>
      </c>
      <c r="B294" s="560" t="s">
        <v>1005</v>
      </c>
      <c r="C294" s="560">
        <v>2300</v>
      </c>
      <c r="D294" s="560">
        <v>6300</v>
      </c>
      <c r="E294" s="561">
        <f>SUMIFS('Accounting data'!$G$2:$G$37000,'Accounting data'!$H$2:$H$37000,"9999*",'Accounting data'!$J$2:$J$37000,"23*",'Accounting data'!$K$2:$K$37000,"63*")</f>
        <v>0</v>
      </c>
    </row>
    <row r="295" spans="1:5" x14ac:dyDescent="0.2">
      <c r="A295" s="560" t="s">
        <v>1006</v>
      </c>
      <c r="B295" s="560" t="s">
        <v>1005</v>
      </c>
      <c r="C295" s="560">
        <v>2300</v>
      </c>
      <c r="D295" s="560">
        <v>6400</v>
      </c>
      <c r="E295" s="561">
        <f>SUMIFS('Accounting data'!$G$2:$G$37000,'Accounting data'!$H$2:$H$37000,"9999*",'Accounting data'!$J$2:$J$37000,"23*",'Accounting data'!$K$2:$K$37000,"64*")</f>
        <v>0</v>
      </c>
    </row>
    <row r="296" spans="1:5" x14ac:dyDescent="0.2">
      <c r="A296" s="560" t="s">
        <v>1006</v>
      </c>
      <c r="B296" s="560" t="s">
        <v>1005</v>
      </c>
      <c r="C296" s="560">
        <v>2300</v>
      </c>
      <c r="D296" s="560">
        <v>6500</v>
      </c>
      <c r="E296" s="561">
        <f>SUMIFS('Accounting data'!$G$2:$G$37000,'Accounting data'!$H$2:$H$37000,"9999*",'Accounting data'!$J$2:$J$37000,"23*",'Accounting data'!$K$2:$K$37000,"65*")</f>
        <v>0</v>
      </c>
    </row>
    <row r="297" spans="1:5" x14ac:dyDescent="0.2">
      <c r="A297" s="560" t="s">
        <v>1005</v>
      </c>
      <c r="B297" s="560" t="s">
        <v>1007</v>
      </c>
      <c r="C297" s="560">
        <v>2300</v>
      </c>
      <c r="D297" s="569" t="s">
        <v>1037</v>
      </c>
      <c r="E297" s="561">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2" t="s">
        <v>1006</v>
      </c>
      <c r="B298" s="560" t="s">
        <v>1007</v>
      </c>
      <c r="C298" s="560">
        <v>2300</v>
      </c>
      <c r="D298" s="560">
        <v>6300</v>
      </c>
      <c r="E298" s="561">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2" t="s">
        <v>1006</v>
      </c>
      <c r="B299" s="560" t="s">
        <v>1007</v>
      </c>
      <c r="C299" s="560">
        <v>2300</v>
      </c>
      <c r="D299" s="560">
        <v>6400</v>
      </c>
      <c r="E299" s="561">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2" t="s">
        <v>1006</v>
      </c>
      <c r="B300" s="560" t="s">
        <v>1007</v>
      </c>
      <c r="C300" s="560">
        <v>2300</v>
      </c>
      <c r="D300" s="560">
        <v>6500</v>
      </c>
      <c r="E300" s="561">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0"/>
      <c r="B301" s="560"/>
      <c r="C301" s="560"/>
      <c r="D301" s="560"/>
      <c r="E301" s="561"/>
    </row>
    <row r="302" spans="1:5" x14ac:dyDescent="0.2">
      <c r="A302" s="560"/>
      <c r="B302" s="560"/>
      <c r="C302" s="560"/>
      <c r="D302" s="560"/>
      <c r="E302" s="561"/>
    </row>
    <row r="303" spans="1:5" x14ac:dyDescent="0.2">
      <c r="A303" s="560"/>
      <c r="B303" s="560"/>
      <c r="C303" s="560"/>
      <c r="D303" s="560"/>
      <c r="E303" s="561"/>
    </row>
    <row r="304" spans="1:5" x14ac:dyDescent="0.2">
      <c r="A304" s="560"/>
      <c r="B304" s="560"/>
      <c r="C304" s="560"/>
      <c r="D304" s="560"/>
      <c r="E304" s="561"/>
    </row>
    <row r="305" spans="1:5" x14ac:dyDescent="0.2">
      <c r="A305" s="560"/>
      <c r="B305" s="560"/>
      <c r="C305" s="560"/>
      <c r="D305" s="560"/>
      <c r="E305" s="561"/>
    </row>
    <row r="306" spans="1:5" x14ac:dyDescent="0.2">
      <c r="A306" s="560"/>
      <c r="B306" s="560"/>
      <c r="C306" s="560"/>
      <c r="D306" s="560"/>
      <c r="E306" s="561"/>
    </row>
    <row r="307" spans="1:5" x14ac:dyDescent="0.2">
      <c r="A307" s="560"/>
      <c r="B307" s="560"/>
      <c r="C307" s="560"/>
      <c r="D307" s="560"/>
      <c r="E307" s="561"/>
    </row>
    <row r="308" spans="1:5" x14ac:dyDescent="0.2">
      <c r="A308" s="560"/>
      <c r="B308" s="560"/>
      <c r="C308" s="560"/>
      <c r="D308" s="560"/>
      <c r="E308" s="561"/>
    </row>
    <row r="309" spans="1:5" x14ac:dyDescent="0.2">
      <c r="A309" s="560"/>
      <c r="B309" s="560"/>
      <c r="C309" s="560"/>
      <c r="D309" s="560"/>
      <c r="E309" s="561"/>
    </row>
    <row r="310" spans="1:5" x14ac:dyDescent="0.2">
      <c r="A310" s="562"/>
      <c r="B310" s="560"/>
      <c r="C310" s="560"/>
      <c r="D310" s="560"/>
      <c r="E310" s="561"/>
    </row>
    <row r="311" spans="1:5" x14ac:dyDescent="0.2">
      <c r="A311" s="560"/>
      <c r="B311" s="560"/>
      <c r="C311" s="560"/>
      <c r="D311" s="560"/>
      <c r="E311" s="561"/>
    </row>
    <row r="312" spans="1:5" x14ac:dyDescent="0.2">
      <c r="A312" s="560"/>
      <c r="B312" s="560"/>
      <c r="C312" s="560"/>
      <c r="D312" s="560"/>
      <c r="E312" s="561"/>
    </row>
    <row r="313" spans="1:5" x14ac:dyDescent="0.2">
      <c r="A313" s="560"/>
      <c r="B313" s="560"/>
      <c r="C313" s="560"/>
      <c r="D313" s="560"/>
      <c r="E313" s="561"/>
    </row>
    <row r="314" spans="1:5" x14ac:dyDescent="0.2">
      <c r="A314" s="560"/>
      <c r="B314" s="560"/>
      <c r="C314" s="560"/>
      <c r="D314" s="560"/>
      <c r="E314" s="561"/>
    </row>
    <row r="315" spans="1:5" x14ac:dyDescent="0.2">
      <c r="A315" s="560"/>
      <c r="B315" s="560"/>
      <c r="C315" s="560"/>
      <c r="D315" s="560"/>
      <c r="E315" s="561"/>
    </row>
    <row r="316" spans="1:5" x14ac:dyDescent="0.2">
      <c r="A316" s="562"/>
      <c r="B316" s="560"/>
      <c r="C316" s="560"/>
      <c r="D316" s="560"/>
      <c r="E316" s="561"/>
    </row>
    <row r="317" spans="1:5" x14ac:dyDescent="0.2">
      <c r="A317" s="560"/>
      <c r="B317" s="560"/>
      <c r="C317" s="560"/>
      <c r="D317" s="560"/>
      <c r="E317" s="561"/>
    </row>
    <row r="318" spans="1:5" x14ac:dyDescent="0.2">
      <c r="A318" s="560"/>
      <c r="B318" s="560"/>
      <c r="C318" s="560"/>
      <c r="D318" s="560"/>
      <c r="E318" s="561"/>
    </row>
    <row r="319" spans="1:5" x14ac:dyDescent="0.2">
      <c r="A319" s="563" t="s">
        <v>1041</v>
      </c>
      <c r="B319" s="563"/>
      <c r="C319" s="563"/>
      <c r="D319" s="563"/>
      <c r="E319" s="565">
        <f>((E293-E294-E295-E296-E297)+(E298+E299+E300+E301+E302+E303+E304+E305+E306))-((E307-E308-E309)+(E310+E311+E312))-((E313-E314-E315)+(E316+E317+E318))</f>
        <v>4008</v>
      </c>
    </row>
    <row r="320" spans="1:5" x14ac:dyDescent="0.2">
      <c r="A320" s="560" t="s">
        <v>1005</v>
      </c>
      <c r="B320" s="560" t="s">
        <v>1005</v>
      </c>
      <c r="C320" s="560">
        <v>2400</v>
      </c>
      <c r="D320" s="569" t="s">
        <v>1037</v>
      </c>
      <c r="E320" s="561">
        <f>SUMIFS('Accounting data'!$G$2:$G$37000,'Accounting data'!$J$2:$J$37000,"24*",'Accounting data'!$K$2:$K$37000,"63*")+SUMIFS('Accounting data'!$G$2:$G$37000,'Accounting data'!$J$2:$J$37000,"24*",'Accounting data'!$K$2:$K$37000,"64*")+SUMIFS('Accounting data'!$G$2:$G$37000,'Accounting data'!$J$2:$J$37000,"24*",'Accounting data'!$K$2:$K$37000,"65*")</f>
        <v>335</v>
      </c>
    </row>
    <row r="321" spans="1:5" x14ac:dyDescent="0.2">
      <c r="A321" s="560" t="s">
        <v>1006</v>
      </c>
      <c r="B321" s="560" t="s">
        <v>1005</v>
      </c>
      <c r="C321" s="560">
        <v>2400</v>
      </c>
      <c r="D321" s="560">
        <v>6300</v>
      </c>
      <c r="E321" s="561">
        <f>SUMIFS('Accounting data'!$G$2:$G$37000,'Accounting data'!$H$2:$H$37000,"9999*",'Accounting data'!$J$2:$J$37000,"24*",'Accounting data'!$K$2:$K$37000,"63*")</f>
        <v>0</v>
      </c>
    </row>
    <row r="322" spans="1:5" x14ac:dyDescent="0.2">
      <c r="A322" s="560" t="s">
        <v>1006</v>
      </c>
      <c r="B322" s="560" t="s">
        <v>1005</v>
      </c>
      <c r="C322" s="560">
        <v>2400</v>
      </c>
      <c r="D322" s="560">
        <v>6400</v>
      </c>
      <c r="E322" s="561">
        <f>SUMIFS('Accounting data'!$G$2:$G$37000,'Accounting data'!$H$2:$H$37000,"9999*",'Accounting data'!$J$2:$J$37000,"24*",'Accounting data'!$K$2:$K$37000,"64*")</f>
        <v>0</v>
      </c>
    </row>
    <row r="323" spans="1:5" x14ac:dyDescent="0.2">
      <c r="A323" s="560" t="s">
        <v>1006</v>
      </c>
      <c r="B323" s="560" t="s">
        <v>1005</v>
      </c>
      <c r="C323" s="560">
        <v>2400</v>
      </c>
      <c r="D323" s="560">
        <v>6500</v>
      </c>
      <c r="E323" s="561">
        <f>SUMIFS('Accounting data'!$G$2:$G$37000,'Accounting data'!$H$2:$H$37000,"9999*",'Accounting data'!$J$2:$J$37000,"24*",'Accounting data'!$K$2:$K$37000,"65*")</f>
        <v>0</v>
      </c>
    </row>
    <row r="324" spans="1:5" x14ac:dyDescent="0.2">
      <c r="A324" s="560" t="s">
        <v>1005</v>
      </c>
      <c r="B324" s="560" t="s">
        <v>1007</v>
      </c>
      <c r="C324" s="560">
        <v>2400</v>
      </c>
      <c r="D324" s="569" t="s">
        <v>1037</v>
      </c>
      <c r="E324" s="561">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2" t="s">
        <v>1006</v>
      </c>
      <c r="B325" s="560" t="s">
        <v>1007</v>
      </c>
      <c r="C325" s="560">
        <v>2400</v>
      </c>
      <c r="D325" s="560">
        <v>6300</v>
      </c>
      <c r="E325" s="561">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2" t="s">
        <v>1006</v>
      </c>
      <c r="B326" s="560" t="s">
        <v>1007</v>
      </c>
      <c r="C326" s="560">
        <v>2400</v>
      </c>
      <c r="D326" s="560">
        <v>6400</v>
      </c>
      <c r="E326" s="561">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2" t="s">
        <v>1006</v>
      </c>
      <c r="B327" s="560" t="s">
        <v>1007</v>
      </c>
      <c r="C327" s="560">
        <v>2400</v>
      </c>
      <c r="D327" s="560">
        <v>6500</v>
      </c>
      <c r="E327" s="561">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0"/>
      <c r="B328" s="560"/>
      <c r="C328" s="560"/>
      <c r="D328" s="560"/>
      <c r="E328" s="561"/>
    </row>
    <row r="329" spans="1:5" x14ac:dyDescent="0.2">
      <c r="A329" s="560"/>
      <c r="B329" s="560"/>
      <c r="C329" s="560"/>
      <c r="D329" s="560"/>
      <c r="E329" s="561"/>
    </row>
    <row r="330" spans="1:5" x14ac:dyDescent="0.2">
      <c r="A330" s="560"/>
      <c r="B330" s="560"/>
      <c r="C330" s="560"/>
      <c r="D330" s="560"/>
      <c r="E330" s="561"/>
    </row>
    <row r="331" spans="1:5" x14ac:dyDescent="0.2">
      <c r="A331" s="560"/>
      <c r="B331" s="560"/>
      <c r="C331" s="560"/>
      <c r="D331" s="560"/>
      <c r="E331" s="561"/>
    </row>
    <row r="332" spans="1:5" x14ac:dyDescent="0.2">
      <c r="A332" s="560"/>
      <c r="B332" s="560"/>
      <c r="C332" s="560"/>
      <c r="D332" s="560"/>
      <c r="E332" s="561"/>
    </row>
    <row r="333" spans="1:5" x14ac:dyDescent="0.2">
      <c r="A333" s="560"/>
      <c r="B333" s="560"/>
      <c r="C333" s="560"/>
      <c r="D333" s="560"/>
      <c r="E333" s="561"/>
    </row>
    <row r="334" spans="1:5" x14ac:dyDescent="0.2">
      <c r="A334" s="560"/>
      <c r="B334" s="560"/>
      <c r="C334" s="560"/>
      <c r="D334" s="560"/>
      <c r="E334" s="561"/>
    </row>
    <row r="335" spans="1:5" x14ac:dyDescent="0.2">
      <c r="A335" s="560"/>
      <c r="B335" s="560"/>
      <c r="C335" s="560"/>
      <c r="D335" s="560"/>
      <c r="E335" s="561"/>
    </row>
    <row r="336" spans="1:5" x14ac:dyDescent="0.2">
      <c r="A336" s="560"/>
      <c r="B336" s="560"/>
      <c r="C336" s="560"/>
      <c r="D336" s="560"/>
      <c r="E336" s="561"/>
    </row>
    <row r="337" spans="1:5" x14ac:dyDescent="0.2">
      <c r="A337" s="562"/>
      <c r="B337" s="560"/>
      <c r="C337" s="560"/>
      <c r="D337" s="560"/>
      <c r="E337" s="561"/>
    </row>
    <row r="338" spans="1:5" x14ac:dyDescent="0.2">
      <c r="A338" s="560"/>
      <c r="B338" s="560"/>
      <c r="C338" s="560"/>
      <c r="D338" s="560"/>
      <c r="E338" s="561"/>
    </row>
    <row r="339" spans="1:5" x14ac:dyDescent="0.2">
      <c r="A339" s="560"/>
      <c r="B339" s="560"/>
      <c r="C339" s="560"/>
      <c r="D339" s="560"/>
      <c r="E339" s="561"/>
    </row>
    <row r="340" spans="1:5" x14ac:dyDescent="0.2">
      <c r="A340" s="560"/>
      <c r="B340" s="560"/>
      <c r="C340" s="560"/>
      <c r="D340" s="560"/>
      <c r="E340" s="561"/>
    </row>
    <row r="341" spans="1:5" x14ac:dyDescent="0.2">
      <c r="A341" s="560"/>
      <c r="B341" s="560"/>
      <c r="C341" s="560"/>
      <c r="D341" s="560"/>
      <c r="E341" s="561"/>
    </row>
    <row r="342" spans="1:5" x14ac:dyDescent="0.2">
      <c r="A342" s="560"/>
      <c r="B342" s="560"/>
      <c r="C342" s="560"/>
      <c r="D342" s="560"/>
      <c r="E342" s="561"/>
    </row>
    <row r="343" spans="1:5" x14ac:dyDescent="0.2">
      <c r="A343" s="562"/>
      <c r="B343" s="560"/>
      <c r="C343" s="560"/>
      <c r="D343" s="560"/>
      <c r="E343" s="561"/>
    </row>
    <row r="344" spans="1:5" x14ac:dyDescent="0.2">
      <c r="A344" s="560"/>
      <c r="B344" s="560"/>
      <c r="C344" s="560"/>
      <c r="D344" s="560"/>
      <c r="E344" s="561"/>
    </row>
    <row r="345" spans="1:5" x14ac:dyDescent="0.2">
      <c r="A345" s="560"/>
      <c r="B345" s="560"/>
      <c r="C345" s="560"/>
      <c r="D345" s="560"/>
      <c r="E345" s="561"/>
    </row>
    <row r="346" spans="1:5" x14ac:dyDescent="0.2">
      <c r="A346" s="563" t="s">
        <v>1042</v>
      </c>
      <c r="B346" s="563"/>
      <c r="C346" s="563"/>
      <c r="D346" s="563"/>
      <c r="E346" s="565">
        <f>((E320-E321-E322-E323-E324)+(E325+E326+E327+E328+E329+E330+E331+E332+E333))-((E334-E335-E336)+(E337+E338+E339))-((E340-E341-E342)+(E343+E344+E345))</f>
        <v>335</v>
      </c>
    </row>
    <row r="347" spans="1:5" x14ac:dyDescent="0.2">
      <c r="A347" s="560" t="s">
        <v>1005</v>
      </c>
      <c r="B347" s="560" t="s">
        <v>1005</v>
      </c>
      <c r="C347" s="560">
        <v>2500</v>
      </c>
      <c r="D347" s="569" t="s">
        <v>1037</v>
      </c>
      <c r="E347" s="561">
        <f>SUMIFS('Accounting data'!$G$2:$G$37000,'Accounting data'!$J$2:$J$37000,"25*",'Accounting data'!$K$2:$K$37000,"63*")+SUMIFS('Accounting data'!$G$2:$G$37000,'Accounting data'!$J$2:$J$37000,"25*",'Accounting data'!$K$2:$K$37000,"64*")+SUMIFS('Accounting data'!$G$2:$G$37000,'Accounting data'!$J$2:$J$37000,"25*",'Accounting data'!$K$2:$K$37000,"65*")</f>
        <v>225334</v>
      </c>
    </row>
    <row r="348" spans="1:5" x14ac:dyDescent="0.2">
      <c r="A348" s="560" t="s">
        <v>1006</v>
      </c>
      <c r="B348" s="560" t="s">
        <v>1005</v>
      </c>
      <c r="C348" s="560">
        <v>2500</v>
      </c>
      <c r="D348" s="560">
        <v>6300</v>
      </c>
      <c r="E348" s="561">
        <f>SUMIFS('Accounting data'!$G$2:$G$37000,'Accounting data'!$H$2:$H$37000,"9999*",'Accounting data'!$J$2:$J$37000,"25*",'Accounting data'!$K$2:$K$37000,"63*")</f>
        <v>0</v>
      </c>
    </row>
    <row r="349" spans="1:5" x14ac:dyDescent="0.2">
      <c r="A349" s="560" t="s">
        <v>1006</v>
      </c>
      <c r="B349" s="560" t="s">
        <v>1005</v>
      </c>
      <c r="C349" s="560">
        <v>2500</v>
      </c>
      <c r="D349" s="560">
        <v>6400</v>
      </c>
      <c r="E349" s="561">
        <f>SUMIFS('Accounting data'!$G$2:$G$37000,'Accounting data'!$H$2:$H$37000,"9999*",'Accounting data'!$J$2:$J$37000,"25*",'Accounting data'!$K$2:$K$37000,"64*")</f>
        <v>0</v>
      </c>
    </row>
    <row r="350" spans="1:5" x14ac:dyDescent="0.2">
      <c r="A350" s="560" t="s">
        <v>1006</v>
      </c>
      <c r="B350" s="560" t="s">
        <v>1005</v>
      </c>
      <c r="C350" s="560">
        <v>2500</v>
      </c>
      <c r="D350" s="560">
        <v>6500</v>
      </c>
      <c r="E350" s="561">
        <f>SUMIFS('Accounting data'!$G$2:$G$37000,'Accounting data'!$H$2:$H$37000,"9999*",'Accounting data'!$J$2:$J$37000,"25*",'Accounting data'!$K$2:$K$37000,"65*")</f>
        <v>0</v>
      </c>
    </row>
    <row r="351" spans="1:5" x14ac:dyDescent="0.2">
      <c r="A351" s="560" t="s">
        <v>1005</v>
      </c>
      <c r="B351" s="560" t="s">
        <v>1007</v>
      </c>
      <c r="C351" s="560">
        <v>2500</v>
      </c>
      <c r="D351" s="569" t="s">
        <v>1037</v>
      </c>
      <c r="E351" s="561">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2" t="s">
        <v>1006</v>
      </c>
      <c r="B352" s="560" t="s">
        <v>1007</v>
      </c>
      <c r="C352" s="560">
        <v>2500</v>
      </c>
      <c r="D352" s="560">
        <v>6300</v>
      </c>
      <c r="E352" s="561">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2" t="s">
        <v>1006</v>
      </c>
      <c r="B353" s="560" t="s">
        <v>1007</v>
      </c>
      <c r="C353" s="560">
        <v>2500</v>
      </c>
      <c r="D353" s="560">
        <v>6400</v>
      </c>
      <c r="E353" s="561">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2" t="s">
        <v>1006</v>
      </c>
      <c r="B354" s="560" t="s">
        <v>1007</v>
      </c>
      <c r="C354" s="560">
        <v>2500</v>
      </c>
      <c r="D354" s="560">
        <v>6500</v>
      </c>
      <c r="E354" s="561">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0"/>
      <c r="B355" s="560"/>
      <c r="C355" s="560"/>
      <c r="D355" s="560"/>
      <c r="E355" s="561"/>
    </row>
    <row r="356" spans="1:5" x14ac:dyDescent="0.2">
      <c r="A356" s="560"/>
      <c r="B356" s="560"/>
      <c r="C356" s="560"/>
      <c r="D356" s="560"/>
      <c r="E356" s="561"/>
    </row>
    <row r="357" spans="1:5" x14ac:dyDescent="0.2">
      <c r="A357" s="560"/>
      <c r="B357" s="560"/>
      <c r="C357" s="560"/>
      <c r="D357" s="560"/>
      <c r="E357" s="561"/>
    </row>
    <row r="358" spans="1:5" x14ac:dyDescent="0.2">
      <c r="A358" s="560"/>
      <c r="B358" s="560"/>
      <c r="C358" s="560"/>
      <c r="D358" s="560"/>
      <c r="E358" s="561"/>
    </row>
    <row r="359" spans="1:5" x14ac:dyDescent="0.2">
      <c r="A359" s="560"/>
      <c r="B359" s="560"/>
      <c r="C359" s="560"/>
      <c r="D359" s="560"/>
      <c r="E359" s="561"/>
    </row>
    <row r="360" spans="1:5" x14ac:dyDescent="0.2">
      <c r="A360" s="560"/>
      <c r="B360" s="560"/>
      <c r="C360" s="560"/>
      <c r="D360" s="560"/>
      <c r="E360" s="561"/>
    </row>
    <row r="361" spans="1:5" x14ac:dyDescent="0.2">
      <c r="A361" s="560"/>
      <c r="B361" s="560"/>
      <c r="C361" s="560"/>
      <c r="D361" s="560"/>
      <c r="E361" s="561"/>
    </row>
    <row r="362" spans="1:5" x14ac:dyDescent="0.2">
      <c r="A362" s="560"/>
      <c r="B362" s="560"/>
      <c r="C362" s="560"/>
      <c r="D362" s="560"/>
      <c r="E362" s="561"/>
    </row>
    <row r="363" spans="1:5" x14ac:dyDescent="0.2">
      <c r="A363" s="560"/>
      <c r="B363" s="560"/>
      <c r="C363" s="560"/>
      <c r="D363" s="560"/>
      <c r="E363" s="561"/>
    </row>
    <row r="364" spans="1:5" x14ac:dyDescent="0.2">
      <c r="A364" s="562"/>
      <c r="B364" s="560"/>
      <c r="C364" s="560"/>
      <c r="D364" s="560"/>
      <c r="E364" s="561"/>
    </row>
    <row r="365" spans="1:5" x14ac:dyDescent="0.2">
      <c r="A365" s="560"/>
      <c r="B365" s="560"/>
      <c r="C365" s="560"/>
      <c r="D365" s="560"/>
      <c r="E365" s="561"/>
    </row>
    <row r="366" spans="1:5" x14ac:dyDescent="0.2">
      <c r="A366" s="560"/>
      <c r="B366" s="560"/>
      <c r="C366" s="560"/>
      <c r="D366" s="560"/>
      <c r="E366" s="561"/>
    </row>
    <row r="367" spans="1:5" x14ac:dyDescent="0.2">
      <c r="A367" s="560"/>
      <c r="B367" s="560"/>
      <c r="C367" s="560"/>
      <c r="D367" s="560"/>
      <c r="E367" s="561"/>
    </row>
    <row r="368" spans="1:5" x14ac:dyDescent="0.2">
      <c r="A368" s="560"/>
      <c r="B368" s="560"/>
      <c r="C368" s="560"/>
      <c r="D368" s="560"/>
      <c r="E368" s="561"/>
    </row>
    <row r="369" spans="1:5" x14ac:dyDescent="0.2">
      <c r="A369" s="560"/>
      <c r="B369" s="560"/>
      <c r="C369" s="560"/>
      <c r="D369" s="560"/>
      <c r="E369" s="561"/>
    </row>
    <row r="370" spans="1:5" x14ac:dyDescent="0.2">
      <c r="A370" s="562"/>
      <c r="B370" s="560"/>
      <c r="C370" s="560"/>
      <c r="D370" s="560"/>
      <c r="E370" s="561"/>
    </row>
    <row r="371" spans="1:5" x14ac:dyDescent="0.2">
      <c r="A371" s="560"/>
      <c r="B371" s="560"/>
      <c r="C371" s="560"/>
      <c r="D371" s="560"/>
      <c r="E371" s="561"/>
    </row>
    <row r="372" spans="1:5" x14ac:dyDescent="0.2">
      <c r="A372" s="560"/>
      <c r="B372" s="560"/>
      <c r="C372" s="560"/>
      <c r="D372" s="560"/>
      <c r="E372" s="561"/>
    </row>
    <row r="373" spans="1:5" x14ac:dyDescent="0.2">
      <c r="A373" s="563" t="s">
        <v>1043</v>
      </c>
      <c r="B373" s="563"/>
      <c r="C373" s="563"/>
      <c r="D373" s="563"/>
      <c r="E373" s="565">
        <f>((E347-E348-E349-E350-E351)+(E352+E353+E354+E355+E356+E357+E358+E359+E360))-((E361-E362-E363)+(E364+E365+E366))-((E367-E368-E369)+(E370+E371+E372))</f>
        <v>225334</v>
      </c>
    </row>
    <row r="374" spans="1:5" x14ac:dyDescent="0.2">
      <c r="A374" s="560" t="s">
        <v>1005</v>
      </c>
      <c r="B374" s="560" t="s">
        <v>1005</v>
      </c>
      <c r="C374" s="560">
        <v>2900</v>
      </c>
      <c r="D374" s="569" t="s">
        <v>1037</v>
      </c>
      <c r="E374" s="561">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0" t="s">
        <v>1006</v>
      </c>
      <c r="B375" s="560" t="s">
        <v>1005</v>
      </c>
      <c r="C375" s="560">
        <v>2900</v>
      </c>
      <c r="D375" s="560">
        <v>6300</v>
      </c>
      <c r="E375" s="561">
        <f>SUMIFS('Accounting data'!$G$2:$G$37000,'Accounting data'!$H$2:$H$37000,"9999*",'Accounting data'!$J$2:$J$37000,"29*",'Accounting data'!$K$2:$K$37000,"63*")</f>
        <v>0</v>
      </c>
    </row>
    <row r="376" spans="1:5" x14ac:dyDescent="0.2">
      <c r="A376" s="560" t="s">
        <v>1006</v>
      </c>
      <c r="B376" s="560" t="s">
        <v>1005</v>
      </c>
      <c r="C376" s="560">
        <v>2900</v>
      </c>
      <c r="D376" s="560">
        <v>6400</v>
      </c>
      <c r="E376" s="561">
        <f>SUMIFS('Accounting data'!$G$2:$G$37000,'Accounting data'!$H$2:$H$37000,"9999*",'Accounting data'!$J$2:$J$37000,"29*",'Accounting data'!$K$2:$K$37000,"64*")</f>
        <v>0</v>
      </c>
    </row>
    <row r="377" spans="1:5" x14ac:dyDescent="0.2">
      <c r="A377" s="560" t="s">
        <v>1006</v>
      </c>
      <c r="B377" s="560" t="s">
        <v>1005</v>
      </c>
      <c r="C377" s="560">
        <v>2900</v>
      </c>
      <c r="D377" s="560">
        <v>6500</v>
      </c>
      <c r="E377" s="561">
        <f>SUMIFS('Accounting data'!$G$2:$G$37000,'Accounting data'!$H$2:$H$37000,"9999*",'Accounting data'!$J$2:$J$37000,"29*",'Accounting data'!$K$2:$K$37000,"65*")</f>
        <v>0</v>
      </c>
    </row>
    <row r="378" spans="1:5" x14ac:dyDescent="0.2">
      <c r="A378" s="560" t="s">
        <v>1005</v>
      </c>
      <c r="B378" s="560" t="s">
        <v>1007</v>
      </c>
      <c r="C378" s="560">
        <v>2900</v>
      </c>
      <c r="D378" s="569" t="s">
        <v>1037</v>
      </c>
      <c r="E378" s="561">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2" t="s">
        <v>1006</v>
      </c>
      <c r="B379" s="560" t="s">
        <v>1007</v>
      </c>
      <c r="C379" s="560">
        <v>2900</v>
      </c>
      <c r="D379" s="560">
        <v>6300</v>
      </c>
      <c r="E379" s="561">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2" t="s">
        <v>1006</v>
      </c>
      <c r="B380" s="560" t="s">
        <v>1007</v>
      </c>
      <c r="C380" s="560">
        <v>2900</v>
      </c>
      <c r="D380" s="560">
        <v>6400</v>
      </c>
      <c r="E380" s="561">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2" t="s">
        <v>1006</v>
      </c>
      <c r="B381" s="560" t="s">
        <v>1007</v>
      </c>
      <c r="C381" s="560">
        <v>2900</v>
      </c>
      <c r="D381" s="560">
        <v>6500</v>
      </c>
      <c r="E381" s="561">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0"/>
      <c r="B382" s="560"/>
      <c r="C382" s="560"/>
      <c r="D382" s="560"/>
      <c r="E382" s="561"/>
    </row>
    <row r="383" spans="1:5" x14ac:dyDescent="0.2">
      <c r="A383" s="560"/>
      <c r="B383" s="560"/>
      <c r="C383" s="560"/>
      <c r="D383" s="560"/>
      <c r="E383" s="561"/>
    </row>
    <row r="384" spans="1:5" x14ac:dyDescent="0.2">
      <c r="A384" s="560"/>
      <c r="B384" s="560"/>
      <c r="C384" s="560"/>
      <c r="D384" s="560"/>
      <c r="E384" s="561"/>
    </row>
    <row r="385" spans="1:5" x14ac:dyDescent="0.2">
      <c r="A385" s="560"/>
      <c r="B385" s="560"/>
      <c r="C385" s="560"/>
      <c r="D385" s="560"/>
      <c r="E385" s="561"/>
    </row>
    <row r="386" spans="1:5" x14ac:dyDescent="0.2">
      <c r="A386" s="560"/>
      <c r="B386" s="560"/>
      <c r="C386" s="560"/>
      <c r="D386" s="560"/>
      <c r="E386" s="561"/>
    </row>
    <row r="387" spans="1:5" x14ac:dyDescent="0.2">
      <c r="A387" s="560"/>
      <c r="B387" s="560"/>
      <c r="C387" s="560"/>
      <c r="D387" s="560"/>
      <c r="E387" s="561"/>
    </row>
    <row r="388" spans="1:5" x14ac:dyDescent="0.2">
      <c r="A388" s="560"/>
      <c r="B388" s="560"/>
      <c r="C388" s="560"/>
      <c r="D388" s="560"/>
      <c r="E388" s="561"/>
    </row>
    <row r="389" spans="1:5" x14ac:dyDescent="0.2">
      <c r="A389" s="560"/>
      <c r="B389" s="560"/>
      <c r="C389" s="560"/>
      <c r="D389" s="560"/>
      <c r="E389" s="561"/>
    </row>
    <row r="390" spans="1:5" x14ac:dyDescent="0.2">
      <c r="A390" s="560"/>
      <c r="B390" s="560"/>
      <c r="C390" s="560"/>
      <c r="D390" s="560"/>
      <c r="E390" s="561"/>
    </row>
    <row r="391" spans="1:5" x14ac:dyDescent="0.2">
      <c r="A391" s="562"/>
      <c r="B391" s="560"/>
      <c r="C391" s="560"/>
      <c r="D391" s="560"/>
      <c r="E391" s="561"/>
    </row>
    <row r="392" spans="1:5" x14ac:dyDescent="0.2">
      <c r="A392" s="560"/>
      <c r="B392" s="560"/>
      <c r="C392" s="560"/>
      <c r="D392" s="560"/>
      <c r="E392" s="561"/>
    </row>
    <row r="393" spans="1:5" x14ac:dyDescent="0.2">
      <c r="A393" s="560"/>
      <c r="B393" s="560"/>
      <c r="C393" s="560"/>
      <c r="D393" s="560"/>
      <c r="E393" s="561"/>
    </row>
    <row r="394" spans="1:5" x14ac:dyDescent="0.2">
      <c r="A394" s="560"/>
      <c r="B394" s="560"/>
      <c r="C394" s="560"/>
      <c r="D394" s="560"/>
      <c r="E394" s="561"/>
    </row>
    <row r="395" spans="1:5" x14ac:dyDescent="0.2">
      <c r="A395" s="560"/>
      <c r="B395" s="560"/>
      <c r="C395" s="560"/>
      <c r="D395" s="560"/>
      <c r="E395" s="561"/>
    </row>
    <row r="396" spans="1:5" x14ac:dyDescent="0.2">
      <c r="A396" s="560"/>
      <c r="B396" s="560"/>
      <c r="C396" s="560"/>
      <c r="D396" s="560"/>
      <c r="E396" s="561"/>
    </row>
    <row r="397" spans="1:5" x14ac:dyDescent="0.2">
      <c r="A397" s="562"/>
      <c r="B397" s="560"/>
      <c r="C397" s="560"/>
      <c r="D397" s="560"/>
      <c r="E397" s="561"/>
    </row>
    <row r="398" spans="1:5" x14ac:dyDescent="0.2">
      <c r="A398" s="560"/>
      <c r="B398" s="560"/>
      <c r="C398" s="560"/>
      <c r="D398" s="560"/>
      <c r="E398" s="561"/>
    </row>
    <row r="399" spans="1:5" x14ac:dyDescent="0.2">
      <c r="A399" s="560"/>
      <c r="B399" s="560"/>
      <c r="C399" s="560"/>
      <c r="D399" s="560"/>
      <c r="E399" s="561"/>
    </row>
    <row r="400" spans="1:5" x14ac:dyDescent="0.2">
      <c r="A400" s="563" t="s">
        <v>1044</v>
      </c>
      <c r="B400" s="563"/>
      <c r="C400" s="563"/>
      <c r="D400" s="563"/>
      <c r="E400" s="565">
        <f>((E374-E375-E376-E377-E378)+(E379+E380+E381+E382+E383+E384+E385+E386+E387))-((E388-E389-E390)+(E391+E392+E393))-((E394-E395-E396)+(E397+E398+E399))</f>
        <v>0</v>
      </c>
    </row>
    <row r="401" spans="1:5" x14ac:dyDescent="0.2">
      <c r="A401" s="560" t="s">
        <v>1005</v>
      </c>
      <c r="B401" s="560" t="s">
        <v>1005</v>
      </c>
      <c r="C401" s="560">
        <v>2600</v>
      </c>
      <c r="D401" s="569" t="s">
        <v>1037</v>
      </c>
      <c r="E401" s="561">
        <f>SUMIFS('Accounting data'!$G$2:$G$37000,'Accounting data'!$J$2:$J$37000,"26*",'Accounting data'!$K$2:$K$37000,"63*")+SUMIFS('Accounting data'!$G$2:$G$37000,'Accounting data'!$J$2:$J$37000,"26*",'Accounting data'!$K$2:$K$37000,"64*")+SUMIFS('Accounting data'!$G$2:$G$37000,'Accounting data'!$J$2:$J$37000,"26*",'Accounting data'!$K$2:$K$37000,"65*")</f>
        <v>476388</v>
      </c>
    </row>
    <row r="402" spans="1:5" x14ac:dyDescent="0.2">
      <c r="A402" s="560" t="s">
        <v>1006</v>
      </c>
      <c r="B402" s="560" t="s">
        <v>1005</v>
      </c>
      <c r="C402" s="560">
        <v>2600</v>
      </c>
      <c r="D402" s="560">
        <v>6300</v>
      </c>
      <c r="E402" s="561">
        <f>SUMIFS('Accounting data'!$G$2:$G$37000,'Accounting data'!$H$2:$H$37000,"9999*",'Accounting data'!$J$2:$J$37000,"26*",'Accounting data'!$K$2:$K$37000,"63*")</f>
        <v>0</v>
      </c>
    </row>
    <row r="403" spans="1:5" x14ac:dyDescent="0.2">
      <c r="A403" s="560" t="s">
        <v>1006</v>
      </c>
      <c r="B403" s="560" t="s">
        <v>1005</v>
      </c>
      <c r="C403" s="560">
        <v>2600</v>
      </c>
      <c r="D403" s="560">
        <v>6400</v>
      </c>
      <c r="E403" s="561">
        <f>SUMIFS('Accounting data'!$G$2:$G$37000,'Accounting data'!$H$2:$H$37000,"9999*",'Accounting data'!$J$2:$J$37000,"26*",'Accounting data'!$K$2:$K$37000,"64*")</f>
        <v>0</v>
      </c>
    </row>
    <row r="404" spans="1:5" x14ac:dyDescent="0.2">
      <c r="A404" s="560" t="s">
        <v>1006</v>
      </c>
      <c r="B404" s="560" t="s">
        <v>1005</v>
      </c>
      <c r="C404" s="560">
        <v>2600</v>
      </c>
      <c r="D404" s="560">
        <v>6500</v>
      </c>
      <c r="E404" s="561">
        <f>SUMIFS('Accounting data'!$G$2:$G$37000,'Accounting data'!$H$2:$H$37000,"9999*",'Accounting data'!$J$2:$J$37000,"26*",'Accounting data'!$K$2:$K$37000,"65*")</f>
        <v>0</v>
      </c>
    </row>
    <row r="405" spans="1:5" x14ac:dyDescent="0.2">
      <c r="A405" s="560" t="s">
        <v>1005</v>
      </c>
      <c r="B405" s="560" t="s">
        <v>1007</v>
      </c>
      <c r="C405" s="560">
        <v>2600</v>
      </c>
      <c r="D405" s="569" t="s">
        <v>1037</v>
      </c>
      <c r="E405" s="561">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2" t="s">
        <v>1006</v>
      </c>
      <c r="B406" s="560" t="s">
        <v>1007</v>
      </c>
      <c r="C406" s="560">
        <v>2600</v>
      </c>
      <c r="D406" s="560">
        <v>6300</v>
      </c>
      <c r="E406" s="561">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2" t="s">
        <v>1006</v>
      </c>
      <c r="B407" s="560" t="s">
        <v>1007</v>
      </c>
      <c r="C407" s="560">
        <v>2600</v>
      </c>
      <c r="D407" s="560">
        <v>6400</v>
      </c>
      <c r="E407" s="561">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2" t="s">
        <v>1006</v>
      </c>
      <c r="B408" s="560" t="s">
        <v>1007</v>
      </c>
      <c r="C408" s="560">
        <v>2600</v>
      </c>
      <c r="D408" s="560">
        <v>6500</v>
      </c>
      <c r="E408" s="561">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0"/>
      <c r="B409" s="560"/>
      <c r="C409" s="560"/>
      <c r="D409" s="560"/>
      <c r="E409" s="561"/>
    </row>
    <row r="410" spans="1:5" x14ac:dyDescent="0.2">
      <c r="A410" s="560"/>
      <c r="B410" s="560"/>
      <c r="C410" s="560"/>
      <c r="D410" s="560"/>
      <c r="E410" s="561"/>
    </row>
    <row r="411" spans="1:5" x14ac:dyDescent="0.2">
      <c r="A411" s="560"/>
      <c r="B411" s="560"/>
      <c r="C411" s="560"/>
      <c r="D411" s="560"/>
      <c r="E411" s="561"/>
    </row>
    <row r="412" spans="1:5" x14ac:dyDescent="0.2">
      <c r="A412" s="560"/>
      <c r="B412" s="560"/>
      <c r="C412" s="560"/>
      <c r="D412" s="560"/>
      <c r="E412" s="561"/>
    </row>
    <row r="413" spans="1:5" x14ac:dyDescent="0.2">
      <c r="A413" s="560"/>
      <c r="B413" s="560"/>
      <c r="C413" s="560"/>
      <c r="D413" s="560"/>
      <c r="E413" s="561"/>
    </row>
    <row r="414" spans="1:5" x14ac:dyDescent="0.2">
      <c r="A414" s="560"/>
      <c r="B414" s="560"/>
      <c r="C414" s="560"/>
      <c r="D414" s="560"/>
      <c r="E414" s="561"/>
    </row>
    <row r="415" spans="1:5" x14ac:dyDescent="0.2">
      <c r="A415" s="560"/>
      <c r="B415" s="560"/>
      <c r="C415" s="560"/>
      <c r="D415" s="560"/>
      <c r="E415" s="561"/>
    </row>
    <row r="416" spans="1:5" x14ac:dyDescent="0.2">
      <c r="A416" s="560"/>
      <c r="B416" s="560"/>
      <c r="C416" s="560"/>
      <c r="D416" s="560"/>
      <c r="E416" s="561"/>
    </row>
    <row r="417" spans="1:5" x14ac:dyDescent="0.2">
      <c r="A417" s="560"/>
      <c r="B417" s="560"/>
      <c r="C417" s="560"/>
      <c r="D417" s="560"/>
      <c r="E417" s="561"/>
    </row>
    <row r="418" spans="1:5" x14ac:dyDescent="0.2">
      <c r="A418" s="562"/>
      <c r="B418" s="560"/>
      <c r="C418" s="560"/>
      <c r="D418" s="560"/>
      <c r="E418" s="561"/>
    </row>
    <row r="419" spans="1:5" x14ac:dyDescent="0.2">
      <c r="A419" s="560"/>
      <c r="B419" s="560"/>
      <c r="C419" s="560"/>
      <c r="D419" s="560"/>
      <c r="E419" s="561"/>
    </row>
    <row r="420" spans="1:5" x14ac:dyDescent="0.2">
      <c r="A420" s="560"/>
      <c r="B420" s="560"/>
      <c r="C420" s="560"/>
      <c r="D420" s="560"/>
      <c r="E420" s="561"/>
    </row>
    <row r="421" spans="1:5" x14ac:dyDescent="0.2">
      <c r="A421" s="560"/>
      <c r="B421" s="560"/>
      <c r="C421" s="560"/>
      <c r="D421" s="560"/>
      <c r="E421" s="561"/>
    </row>
    <row r="422" spans="1:5" x14ac:dyDescent="0.2">
      <c r="A422" s="560"/>
      <c r="B422" s="560"/>
      <c r="C422" s="560"/>
      <c r="D422" s="560"/>
      <c r="E422" s="561"/>
    </row>
    <row r="423" spans="1:5" x14ac:dyDescent="0.2">
      <c r="A423" s="560"/>
      <c r="B423" s="560"/>
      <c r="C423" s="560"/>
      <c r="D423" s="560"/>
      <c r="E423" s="561"/>
    </row>
    <row r="424" spans="1:5" x14ac:dyDescent="0.2">
      <c r="A424" s="562"/>
      <c r="B424" s="560"/>
      <c r="C424" s="560"/>
      <c r="D424" s="560"/>
      <c r="E424" s="561"/>
    </row>
    <row r="425" spans="1:5" x14ac:dyDescent="0.2">
      <c r="A425" s="560"/>
      <c r="B425" s="560"/>
      <c r="C425" s="560"/>
      <c r="D425" s="560"/>
      <c r="E425" s="561"/>
    </row>
    <row r="426" spans="1:5" x14ac:dyDescent="0.2">
      <c r="A426" s="560"/>
      <c r="B426" s="560"/>
      <c r="C426" s="560"/>
      <c r="D426" s="560"/>
      <c r="E426" s="561"/>
    </row>
    <row r="427" spans="1:5" x14ac:dyDescent="0.2">
      <c r="A427" s="563" t="s">
        <v>1045</v>
      </c>
      <c r="B427" s="563"/>
      <c r="C427" s="563"/>
      <c r="D427" s="563"/>
      <c r="E427" s="565">
        <f>((E401-E402-E403-E404-E405)+(E406+E407+E408+E409+E410+E411+E412+E413+E414))-((E415-E416-E417)+(E418+E419+E420))-((E421-E422-E423)+(E424+E425+E426))</f>
        <v>476388</v>
      </c>
    </row>
    <row r="428" spans="1:5" x14ac:dyDescent="0.2">
      <c r="A428" s="560" t="s">
        <v>1005</v>
      </c>
      <c r="B428" s="560" t="s">
        <v>1005</v>
      </c>
      <c r="C428" s="560">
        <v>2700</v>
      </c>
      <c r="D428" s="569" t="s">
        <v>1037</v>
      </c>
      <c r="E428" s="561">
        <f>SUMIFS('Accounting data'!$G$2:$G$37000,'Accounting data'!$J$2:$J$37000,"27*",'Accounting data'!$K$2:$K$37000,"63*")+SUMIFS('Accounting data'!$G$2:$G$37000,'Accounting data'!$J$2:$J$37000,"27*",'Accounting data'!$K$2:$K$37000,"64*")+SUMIFS('Accounting data'!$G$2:$G$37000,'Accounting data'!$J$2:$J$37000,"27*",'Accounting data'!$K$2:$K$37000,"65*")</f>
        <v>116950</v>
      </c>
    </row>
    <row r="429" spans="1:5" x14ac:dyDescent="0.2">
      <c r="A429" s="560" t="s">
        <v>1006</v>
      </c>
      <c r="B429" s="560" t="s">
        <v>1005</v>
      </c>
      <c r="C429" s="560">
        <v>2700</v>
      </c>
      <c r="D429" s="560">
        <v>6300</v>
      </c>
      <c r="E429" s="561">
        <f>SUMIFS('Accounting data'!$G$2:$G$37000,'Accounting data'!$H$2:$H$37000,"9999*",'Accounting data'!$J$2:$J$37000,"27*",'Accounting data'!$K$2:$K$37000,"63*")</f>
        <v>0</v>
      </c>
    </row>
    <row r="430" spans="1:5" x14ac:dyDescent="0.2">
      <c r="A430" s="560" t="s">
        <v>1006</v>
      </c>
      <c r="B430" s="560" t="s">
        <v>1005</v>
      </c>
      <c r="C430" s="560">
        <v>2700</v>
      </c>
      <c r="D430" s="560">
        <v>6400</v>
      </c>
      <c r="E430" s="561">
        <f>SUMIFS('Accounting data'!$G$2:$G$37000,'Accounting data'!$H$2:$H$37000,"9999*",'Accounting data'!$J$2:$J$37000,"27*",'Accounting data'!$K$2:$K$37000,"64*")</f>
        <v>0</v>
      </c>
    </row>
    <row r="431" spans="1:5" x14ac:dyDescent="0.2">
      <c r="A431" s="560" t="s">
        <v>1006</v>
      </c>
      <c r="B431" s="560" t="s">
        <v>1005</v>
      </c>
      <c r="C431" s="560">
        <v>2700</v>
      </c>
      <c r="D431" s="560">
        <v>6500</v>
      </c>
      <c r="E431" s="561">
        <f>SUMIFS('Accounting data'!$G$2:$G$37000,'Accounting data'!$H$2:$H$37000,"9999*",'Accounting data'!$J$2:$J$37000,"27*",'Accounting data'!$K$2:$K$37000,"65*")</f>
        <v>0</v>
      </c>
    </row>
    <row r="432" spans="1:5" x14ac:dyDescent="0.2">
      <c r="A432" s="560" t="s">
        <v>1005</v>
      </c>
      <c r="B432" s="560" t="s">
        <v>1007</v>
      </c>
      <c r="C432" s="560">
        <v>2700</v>
      </c>
      <c r="D432" s="569" t="s">
        <v>1037</v>
      </c>
      <c r="E432" s="561">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2" t="s">
        <v>1006</v>
      </c>
      <c r="B433" s="560" t="s">
        <v>1007</v>
      </c>
      <c r="C433" s="560">
        <v>2700</v>
      </c>
      <c r="D433" s="560">
        <v>6300</v>
      </c>
      <c r="E433" s="561">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2" t="s">
        <v>1006</v>
      </c>
      <c r="B434" s="560" t="s">
        <v>1007</v>
      </c>
      <c r="C434" s="560">
        <v>2700</v>
      </c>
      <c r="D434" s="560">
        <v>6400</v>
      </c>
      <c r="E434" s="561">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2" t="s">
        <v>1006</v>
      </c>
      <c r="B435" s="560" t="s">
        <v>1007</v>
      </c>
      <c r="C435" s="560">
        <v>2700</v>
      </c>
      <c r="D435" s="560">
        <v>6500</v>
      </c>
      <c r="E435" s="561">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0"/>
      <c r="B436" s="560"/>
      <c r="C436" s="560"/>
      <c r="D436" s="560"/>
      <c r="E436" s="561"/>
    </row>
    <row r="437" spans="1:5" x14ac:dyDescent="0.2">
      <c r="A437" s="560"/>
      <c r="B437" s="560"/>
      <c r="C437" s="560"/>
      <c r="D437" s="560"/>
      <c r="E437" s="561"/>
    </row>
    <row r="438" spans="1:5" x14ac:dyDescent="0.2">
      <c r="A438" s="560"/>
      <c r="B438" s="560"/>
      <c r="C438" s="560"/>
      <c r="D438" s="560"/>
      <c r="E438" s="561"/>
    </row>
    <row r="439" spans="1:5" x14ac:dyDescent="0.2">
      <c r="A439" s="560"/>
      <c r="B439" s="560"/>
      <c r="C439" s="560"/>
      <c r="D439" s="560"/>
      <c r="E439" s="561"/>
    </row>
    <row r="440" spans="1:5" x14ac:dyDescent="0.2">
      <c r="A440" s="560"/>
      <c r="B440" s="560"/>
      <c r="C440" s="560"/>
      <c r="D440" s="560"/>
      <c r="E440" s="561"/>
    </row>
    <row r="441" spans="1:5" x14ac:dyDescent="0.2">
      <c r="A441" s="560"/>
      <c r="B441" s="560"/>
      <c r="C441" s="560"/>
      <c r="D441" s="560"/>
      <c r="E441" s="561"/>
    </row>
    <row r="442" spans="1:5" x14ac:dyDescent="0.2">
      <c r="A442" s="560"/>
      <c r="B442" s="560"/>
      <c r="C442" s="560"/>
      <c r="D442" s="560"/>
      <c r="E442" s="561"/>
    </row>
    <row r="443" spans="1:5" x14ac:dyDescent="0.2">
      <c r="A443" s="560"/>
      <c r="B443" s="560"/>
      <c r="C443" s="560"/>
      <c r="D443" s="560"/>
      <c r="E443" s="561"/>
    </row>
    <row r="444" spans="1:5" x14ac:dyDescent="0.2">
      <c r="A444" s="560"/>
      <c r="B444" s="560"/>
      <c r="C444" s="560"/>
      <c r="D444" s="560"/>
      <c r="E444" s="561"/>
    </row>
    <row r="445" spans="1:5" x14ac:dyDescent="0.2">
      <c r="A445" s="560"/>
      <c r="B445" s="560"/>
      <c r="C445" s="560"/>
      <c r="D445" s="560"/>
      <c r="E445" s="561"/>
    </row>
    <row r="446" spans="1:5" x14ac:dyDescent="0.2">
      <c r="A446" s="560"/>
      <c r="B446" s="560"/>
      <c r="C446" s="560"/>
      <c r="D446" s="560"/>
      <c r="E446" s="561"/>
    </row>
    <row r="447" spans="1:5" x14ac:dyDescent="0.2">
      <c r="A447" s="560"/>
      <c r="B447" s="560"/>
      <c r="C447" s="560"/>
      <c r="D447" s="560"/>
      <c r="E447" s="561"/>
    </row>
    <row r="448" spans="1:5" x14ac:dyDescent="0.2">
      <c r="A448" s="560"/>
      <c r="B448" s="560"/>
      <c r="C448" s="560"/>
      <c r="D448" s="560"/>
      <c r="E448" s="561"/>
    </row>
    <row r="449" spans="1:5" x14ac:dyDescent="0.2">
      <c r="A449" s="560"/>
      <c r="B449" s="560"/>
      <c r="C449" s="560"/>
      <c r="D449" s="560"/>
      <c r="E449" s="561"/>
    </row>
    <row r="450" spans="1:5" x14ac:dyDescent="0.2">
      <c r="A450" s="560"/>
      <c r="B450" s="560"/>
      <c r="C450" s="560"/>
      <c r="D450" s="560"/>
      <c r="E450" s="561"/>
    </row>
    <row r="451" spans="1:5" x14ac:dyDescent="0.2">
      <c r="A451" s="560"/>
      <c r="B451" s="560"/>
      <c r="C451" s="560"/>
      <c r="D451" s="560"/>
      <c r="E451" s="561"/>
    </row>
    <row r="452" spans="1:5" x14ac:dyDescent="0.2">
      <c r="A452" s="560"/>
      <c r="B452" s="560"/>
      <c r="C452" s="560"/>
      <c r="D452" s="560"/>
      <c r="E452" s="561"/>
    </row>
    <row r="453" spans="1:5" x14ac:dyDescent="0.2">
      <c r="A453" s="560"/>
      <c r="B453" s="560"/>
      <c r="C453" s="560"/>
      <c r="D453" s="560"/>
      <c r="E453" s="561"/>
    </row>
    <row r="454" spans="1:5" x14ac:dyDescent="0.2">
      <c r="A454" s="563" t="s">
        <v>1046</v>
      </c>
      <c r="B454" s="563"/>
      <c r="C454" s="563"/>
      <c r="D454" s="563"/>
      <c r="E454" s="565">
        <f>((E428-E429-E430-E431-E432)+(E433+E434+E435+E436+E437+E438+E439+E440+E441))-((E442-E443-E444)+(E445+E446+E447))-((E448-E449-E450)+(E451+E452+E453))</f>
        <v>116950</v>
      </c>
    </row>
    <row r="455" spans="1:5" x14ac:dyDescent="0.2">
      <c r="A455" s="560" t="s">
        <v>1005</v>
      </c>
      <c r="B455" s="560" t="s">
        <v>1005</v>
      </c>
      <c r="C455" s="560">
        <v>3100</v>
      </c>
      <c r="D455" s="569" t="s">
        <v>1037</v>
      </c>
      <c r="E455" s="561">
        <f>SUMIFS('Accounting data'!$G$2:$G$37000,'Accounting data'!$J$2:$J$37000,"31*",'Accounting data'!$K$2:$K$37000,"63*")+SUMIFS('Accounting data'!$G$2:$G$37000,'Accounting data'!$J$2:$J$37000,"31*",'Accounting data'!$K$2:$K$37000,"64*")+SUMIFS('Accounting data'!$G$2:$G$37000,'Accounting data'!$J$2:$J$37000,"31*",'Accounting data'!$K$2:$K$37000,"65*")</f>
        <v>738</v>
      </c>
    </row>
    <row r="456" spans="1:5" x14ac:dyDescent="0.2">
      <c r="A456" s="560" t="s">
        <v>1006</v>
      </c>
      <c r="B456" s="560" t="s">
        <v>1005</v>
      </c>
      <c r="C456" s="560">
        <v>3100</v>
      </c>
      <c r="D456" s="560">
        <v>6300</v>
      </c>
      <c r="E456" s="561">
        <f>SUMIFS('Accounting data'!$G$2:$G$37000,'Accounting data'!$H$2:$H$37000,"9999*",'Accounting data'!$J$2:$J$37000,"31*",'Accounting data'!$K$2:$K$37000,"63*")</f>
        <v>0</v>
      </c>
    </row>
    <row r="457" spans="1:5" x14ac:dyDescent="0.2">
      <c r="A457" s="560" t="s">
        <v>1006</v>
      </c>
      <c r="B457" s="560" t="s">
        <v>1005</v>
      </c>
      <c r="C457" s="560">
        <v>3100</v>
      </c>
      <c r="D457" s="560">
        <v>6400</v>
      </c>
      <c r="E457" s="561">
        <f>SUMIFS('Accounting data'!$G$2:$G$37000,'Accounting data'!$H$2:$H$37000,"9999*",'Accounting data'!$J$2:$J$37000,"31*",'Accounting data'!$K$2:$K$37000,"64*")</f>
        <v>0</v>
      </c>
    </row>
    <row r="458" spans="1:5" x14ac:dyDescent="0.2">
      <c r="A458" s="560" t="s">
        <v>1006</v>
      </c>
      <c r="B458" s="560" t="s">
        <v>1005</v>
      </c>
      <c r="C458" s="560">
        <v>3100</v>
      </c>
      <c r="D458" s="560">
        <v>6500</v>
      </c>
      <c r="E458" s="561">
        <f>SUMIFS('Accounting data'!$G$2:$G$37000,'Accounting data'!$H$2:$H$37000,"9999*",'Accounting data'!$J$2:$J$37000,"31*",'Accounting data'!$K$2:$K$37000,"65*")</f>
        <v>0</v>
      </c>
    </row>
    <row r="459" spans="1:5" x14ac:dyDescent="0.2">
      <c r="A459" s="560" t="s">
        <v>1005</v>
      </c>
      <c r="B459" s="560" t="s">
        <v>1007</v>
      </c>
      <c r="C459" s="560">
        <v>3100</v>
      </c>
      <c r="D459" s="569" t="s">
        <v>1037</v>
      </c>
      <c r="E459" s="561">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2" t="s">
        <v>1006</v>
      </c>
      <c r="B460" s="560" t="s">
        <v>1007</v>
      </c>
      <c r="C460" s="560">
        <v>3100</v>
      </c>
      <c r="D460" s="560">
        <v>6300</v>
      </c>
      <c r="E460" s="561">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2" t="s">
        <v>1006</v>
      </c>
      <c r="B461" s="560" t="s">
        <v>1007</v>
      </c>
      <c r="C461" s="560">
        <v>3100</v>
      </c>
      <c r="D461" s="560">
        <v>6400</v>
      </c>
      <c r="E461" s="561">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2" t="s">
        <v>1006</v>
      </c>
      <c r="B462" s="560" t="s">
        <v>1007</v>
      </c>
      <c r="C462" s="560">
        <v>3100</v>
      </c>
      <c r="D462" s="560">
        <v>6500</v>
      </c>
      <c r="E462" s="561">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0"/>
      <c r="B463" s="560"/>
      <c r="C463" s="560"/>
      <c r="D463" s="560"/>
      <c r="E463" s="561"/>
    </row>
    <row r="464" spans="1:5" x14ac:dyDescent="0.2">
      <c r="A464" s="560"/>
      <c r="B464" s="560"/>
      <c r="C464" s="560"/>
      <c r="D464" s="560"/>
      <c r="E464" s="561"/>
    </row>
    <row r="465" spans="1:5" x14ac:dyDescent="0.2">
      <c r="A465" s="560"/>
      <c r="B465" s="560"/>
      <c r="C465" s="560"/>
      <c r="D465" s="560"/>
      <c r="E465" s="561"/>
    </row>
    <row r="466" spans="1:5" x14ac:dyDescent="0.2">
      <c r="A466" s="560"/>
      <c r="B466" s="560"/>
      <c r="C466" s="560"/>
      <c r="D466" s="560"/>
      <c r="E466" s="561"/>
    </row>
    <row r="467" spans="1:5" x14ac:dyDescent="0.2">
      <c r="A467" s="560"/>
      <c r="B467" s="560"/>
      <c r="C467" s="560"/>
      <c r="D467" s="560"/>
      <c r="E467" s="561"/>
    </row>
    <row r="468" spans="1:5" x14ac:dyDescent="0.2">
      <c r="A468" s="560"/>
      <c r="B468" s="560"/>
      <c r="C468" s="560"/>
      <c r="D468" s="560"/>
      <c r="E468" s="561"/>
    </row>
    <row r="469" spans="1:5" x14ac:dyDescent="0.2">
      <c r="A469" s="560"/>
      <c r="B469" s="560"/>
      <c r="C469" s="560"/>
      <c r="D469" s="560"/>
      <c r="E469" s="561"/>
    </row>
    <row r="470" spans="1:5" x14ac:dyDescent="0.2">
      <c r="A470" s="560"/>
      <c r="B470" s="560"/>
      <c r="C470" s="560"/>
      <c r="D470" s="560"/>
      <c r="E470" s="561"/>
    </row>
    <row r="471" spans="1:5" x14ac:dyDescent="0.2">
      <c r="A471" s="560"/>
      <c r="B471" s="560"/>
      <c r="C471" s="560"/>
      <c r="D471" s="560"/>
      <c r="E471" s="561"/>
    </row>
    <row r="472" spans="1:5" x14ac:dyDescent="0.2">
      <c r="A472" s="562"/>
      <c r="B472" s="560"/>
      <c r="C472" s="560"/>
      <c r="D472" s="560"/>
      <c r="E472" s="561"/>
    </row>
    <row r="473" spans="1:5" x14ac:dyDescent="0.2">
      <c r="A473" s="560"/>
      <c r="B473" s="560"/>
      <c r="C473" s="560"/>
      <c r="D473" s="560"/>
      <c r="E473" s="561"/>
    </row>
    <row r="474" spans="1:5" x14ac:dyDescent="0.2">
      <c r="A474" s="560"/>
      <c r="B474" s="560"/>
      <c r="C474" s="560"/>
      <c r="D474" s="560"/>
      <c r="E474" s="561"/>
    </row>
    <row r="475" spans="1:5" x14ac:dyDescent="0.2">
      <c r="A475" s="560"/>
      <c r="B475" s="560"/>
      <c r="C475" s="560"/>
      <c r="D475" s="560"/>
      <c r="E475" s="561"/>
    </row>
    <row r="476" spans="1:5" x14ac:dyDescent="0.2">
      <c r="A476" s="560"/>
      <c r="B476" s="560"/>
      <c r="C476" s="560"/>
      <c r="D476" s="560"/>
      <c r="E476" s="561"/>
    </row>
    <row r="477" spans="1:5" x14ac:dyDescent="0.2">
      <c r="A477" s="560"/>
      <c r="B477" s="560"/>
      <c r="C477" s="560"/>
      <c r="D477" s="560"/>
      <c r="E477" s="561"/>
    </row>
    <row r="478" spans="1:5" x14ac:dyDescent="0.2">
      <c r="A478" s="562"/>
      <c r="B478" s="560"/>
      <c r="C478" s="560"/>
      <c r="D478" s="560"/>
      <c r="E478" s="561"/>
    </row>
    <row r="479" spans="1:5" x14ac:dyDescent="0.2">
      <c r="A479" s="560"/>
      <c r="B479" s="560"/>
      <c r="C479" s="560"/>
      <c r="D479" s="560"/>
      <c r="E479" s="561"/>
    </row>
    <row r="480" spans="1:5" x14ac:dyDescent="0.2">
      <c r="A480" s="560"/>
      <c r="B480" s="560"/>
      <c r="C480" s="560"/>
      <c r="D480" s="560"/>
      <c r="E480" s="561"/>
    </row>
    <row r="481" spans="1:5" x14ac:dyDescent="0.2">
      <c r="A481" s="563" t="s">
        <v>1047</v>
      </c>
      <c r="B481" s="563"/>
      <c r="C481" s="563"/>
      <c r="D481" s="563"/>
      <c r="E481" s="565">
        <f>((E455-E456-E457-E458-E459)+(E460+E461+E462+E463+E464+E465+E466+E467+E468))-((E469-E470-E471)+(E472+E473+E474))-((E475-E476-E477)+(E478+E479+E480))</f>
        <v>738</v>
      </c>
    </row>
    <row r="482" spans="1:5" x14ac:dyDescent="0.2">
      <c r="A482" s="560"/>
      <c r="B482" s="560"/>
      <c r="C482" s="560"/>
      <c r="D482" s="569"/>
      <c r="E482" s="561"/>
    </row>
    <row r="483" spans="1:5" x14ac:dyDescent="0.2">
      <c r="A483" s="560"/>
      <c r="B483" s="560"/>
      <c r="C483" s="560"/>
      <c r="D483" s="560"/>
      <c r="E483" s="561"/>
    </row>
    <row r="484" spans="1:5" x14ac:dyDescent="0.2">
      <c r="A484" s="560"/>
      <c r="B484" s="560"/>
      <c r="C484" s="560"/>
      <c r="D484" s="560"/>
      <c r="E484" s="561"/>
    </row>
    <row r="485" spans="1:5" x14ac:dyDescent="0.2">
      <c r="A485" s="560"/>
      <c r="B485" s="560"/>
      <c r="C485" s="560"/>
      <c r="D485" s="560"/>
      <c r="E485" s="561"/>
    </row>
    <row r="486" spans="1:5" x14ac:dyDescent="0.2">
      <c r="A486" s="560"/>
      <c r="B486" s="560"/>
      <c r="C486" s="560"/>
      <c r="D486" s="569"/>
      <c r="E486" s="561"/>
    </row>
    <row r="487" spans="1:5" x14ac:dyDescent="0.2">
      <c r="A487" s="562"/>
      <c r="B487" s="560"/>
      <c r="C487" s="560"/>
      <c r="D487" s="560"/>
      <c r="E487" s="561"/>
    </row>
    <row r="488" spans="1:5" x14ac:dyDescent="0.2">
      <c r="A488" s="562"/>
      <c r="B488" s="560"/>
      <c r="C488" s="560"/>
      <c r="D488" s="560"/>
      <c r="E488" s="561"/>
    </row>
    <row r="489" spans="1:5" x14ac:dyDescent="0.2">
      <c r="A489" s="562"/>
      <c r="B489" s="560"/>
      <c r="C489" s="560"/>
      <c r="D489" s="560"/>
      <c r="E489" s="561"/>
    </row>
    <row r="490" spans="1:5" x14ac:dyDescent="0.2">
      <c r="A490" s="560"/>
      <c r="B490" s="560"/>
      <c r="C490" s="560"/>
      <c r="D490" s="560"/>
      <c r="E490" s="561"/>
    </row>
    <row r="491" spans="1:5" x14ac:dyDescent="0.2">
      <c r="A491" s="560"/>
      <c r="B491" s="560"/>
      <c r="C491" s="560"/>
      <c r="D491" s="560"/>
      <c r="E491" s="561"/>
    </row>
    <row r="492" spans="1:5" x14ac:dyDescent="0.2">
      <c r="A492" s="560"/>
      <c r="B492" s="560"/>
      <c r="C492" s="560"/>
      <c r="D492" s="560"/>
      <c r="E492" s="561"/>
    </row>
    <row r="493" spans="1:5" x14ac:dyDescent="0.2">
      <c r="A493" s="560"/>
      <c r="B493" s="560"/>
      <c r="C493" s="560"/>
      <c r="D493" s="560"/>
      <c r="E493" s="561"/>
    </row>
    <row r="494" spans="1:5" x14ac:dyDescent="0.2">
      <c r="A494" s="560"/>
      <c r="B494" s="560"/>
      <c r="C494" s="560"/>
      <c r="D494" s="560"/>
      <c r="E494" s="561"/>
    </row>
    <row r="495" spans="1:5" x14ac:dyDescent="0.2">
      <c r="A495" s="560"/>
      <c r="B495" s="560"/>
      <c r="C495" s="560"/>
      <c r="D495" s="560"/>
      <c r="E495" s="561"/>
    </row>
    <row r="496" spans="1:5" x14ac:dyDescent="0.2">
      <c r="A496" s="560"/>
      <c r="B496" s="560"/>
      <c r="C496" s="560"/>
      <c r="D496" s="560"/>
      <c r="E496" s="561"/>
    </row>
    <row r="497" spans="1:5" x14ac:dyDescent="0.2">
      <c r="A497" s="560"/>
      <c r="B497" s="560"/>
      <c r="C497" s="560"/>
      <c r="D497" s="560"/>
      <c r="E497" s="561"/>
    </row>
    <row r="498" spans="1:5" x14ac:dyDescent="0.2">
      <c r="A498" s="560"/>
      <c r="B498" s="560"/>
      <c r="C498" s="560"/>
      <c r="D498" s="560"/>
      <c r="E498" s="561"/>
    </row>
    <row r="499" spans="1:5" x14ac:dyDescent="0.2">
      <c r="A499" s="562"/>
      <c r="B499" s="560"/>
      <c r="C499" s="560"/>
      <c r="D499" s="560"/>
      <c r="E499" s="561"/>
    </row>
    <row r="500" spans="1:5" x14ac:dyDescent="0.2">
      <c r="A500" s="560"/>
      <c r="B500" s="560"/>
      <c r="C500" s="560"/>
      <c r="D500" s="560"/>
      <c r="E500" s="561"/>
    </row>
    <row r="501" spans="1:5" x14ac:dyDescent="0.2">
      <c r="A501" s="560"/>
      <c r="B501" s="560"/>
      <c r="C501" s="560"/>
      <c r="D501" s="560"/>
      <c r="E501" s="561"/>
    </row>
    <row r="502" spans="1:5" x14ac:dyDescent="0.2">
      <c r="A502" s="560"/>
      <c r="B502" s="560"/>
      <c r="C502" s="560"/>
      <c r="D502" s="560"/>
      <c r="E502" s="561"/>
    </row>
    <row r="503" spans="1:5" x14ac:dyDescent="0.2">
      <c r="A503" s="560"/>
      <c r="B503" s="560"/>
      <c r="C503" s="560"/>
      <c r="D503" s="560"/>
      <c r="E503" s="561"/>
    </row>
    <row r="504" spans="1:5" x14ac:dyDescent="0.2">
      <c r="A504" s="560"/>
      <c r="B504" s="560"/>
      <c r="C504" s="560"/>
      <c r="D504" s="560"/>
      <c r="E504" s="561"/>
    </row>
    <row r="505" spans="1:5" x14ac:dyDescent="0.2">
      <c r="A505" s="562"/>
      <c r="B505" s="560"/>
      <c r="C505" s="560"/>
      <c r="D505" s="560"/>
      <c r="E505" s="561"/>
    </row>
    <row r="506" spans="1:5" x14ac:dyDescent="0.2">
      <c r="A506" s="560"/>
      <c r="B506" s="560"/>
      <c r="C506" s="560"/>
      <c r="D506" s="560"/>
      <c r="E506" s="561"/>
    </row>
    <row r="507" spans="1:5" x14ac:dyDescent="0.2">
      <c r="A507" s="560"/>
      <c r="B507" s="560"/>
      <c r="C507" s="560"/>
      <c r="D507" s="560"/>
      <c r="E507" s="561"/>
    </row>
    <row r="508" spans="1:5" x14ac:dyDescent="0.2">
      <c r="A508" s="563"/>
      <c r="B508" s="563"/>
      <c r="C508" s="563"/>
      <c r="D508" s="563"/>
      <c r="E508" s="565"/>
    </row>
    <row r="509" spans="1:5" x14ac:dyDescent="0.2">
      <c r="A509" s="560" t="s">
        <v>1005</v>
      </c>
      <c r="B509" s="560" t="s">
        <v>1005</v>
      </c>
      <c r="C509" s="560">
        <v>3400</v>
      </c>
      <c r="D509" s="569" t="s">
        <v>1037</v>
      </c>
      <c r="E509" s="561">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0" t="s">
        <v>1006</v>
      </c>
      <c r="B510" s="560" t="s">
        <v>1005</v>
      </c>
      <c r="C510" s="560">
        <v>3400</v>
      </c>
      <c r="D510" s="560">
        <v>6300</v>
      </c>
      <c r="E510" s="561">
        <f>SUMIFS('Accounting data'!$G$2:$G$37000,'Accounting data'!$H$2:$H$37000,"9999*",'Accounting data'!$J$2:$J$37000,"34*",'Accounting data'!$K$2:$K$37000,"63*")</f>
        <v>0</v>
      </c>
    </row>
    <row r="511" spans="1:5" x14ac:dyDescent="0.2">
      <c r="A511" s="560" t="s">
        <v>1006</v>
      </c>
      <c r="B511" s="560" t="s">
        <v>1005</v>
      </c>
      <c r="C511" s="560">
        <v>3400</v>
      </c>
      <c r="D511" s="560">
        <v>6400</v>
      </c>
      <c r="E511" s="561">
        <f>SUMIFS('Accounting data'!$G$2:$G$37000,'Accounting data'!$H$2:$H$37000,"9999*",'Accounting data'!$J$2:$J$37000,"34*",'Accounting data'!$K$2:$K$37000,"64*")</f>
        <v>0</v>
      </c>
    </row>
    <row r="512" spans="1:5" x14ac:dyDescent="0.2">
      <c r="A512" s="560" t="s">
        <v>1006</v>
      </c>
      <c r="B512" s="560" t="s">
        <v>1005</v>
      </c>
      <c r="C512" s="560">
        <v>3400</v>
      </c>
      <c r="D512" s="560">
        <v>6500</v>
      </c>
      <c r="E512" s="561">
        <f>SUMIFS('Accounting data'!$G$2:$G$37000,'Accounting data'!$H$2:$H$37000,"9999*",'Accounting data'!$J$2:$J$37000,"34*",'Accounting data'!$K$2:$K$37000,"65*")</f>
        <v>0</v>
      </c>
    </row>
    <row r="513" spans="1:5" x14ac:dyDescent="0.2">
      <c r="A513" s="560" t="s">
        <v>1005</v>
      </c>
      <c r="B513" s="560" t="s">
        <v>1007</v>
      </c>
      <c r="C513" s="560">
        <v>3400</v>
      </c>
      <c r="D513" s="569" t="s">
        <v>1037</v>
      </c>
      <c r="E513" s="561">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2" t="s">
        <v>1006</v>
      </c>
      <c r="B514" s="560" t="s">
        <v>1007</v>
      </c>
      <c r="C514" s="560">
        <v>3400</v>
      </c>
      <c r="D514" s="560">
        <v>6300</v>
      </c>
      <c r="E514" s="561">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2" t="s">
        <v>1006</v>
      </c>
      <c r="B515" s="560" t="s">
        <v>1007</v>
      </c>
      <c r="C515" s="560">
        <v>3400</v>
      </c>
      <c r="D515" s="560">
        <v>6400</v>
      </c>
      <c r="E515" s="561">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2" t="s">
        <v>1006</v>
      </c>
      <c r="B516" s="560" t="s">
        <v>1007</v>
      </c>
      <c r="C516" s="560">
        <v>3400</v>
      </c>
      <c r="D516" s="560">
        <v>6500</v>
      </c>
      <c r="E516" s="561">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0"/>
      <c r="B517" s="560"/>
      <c r="C517" s="560"/>
      <c r="D517" s="560"/>
      <c r="E517" s="561"/>
    </row>
    <row r="518" spans="1:5" x14ac:dyDescent="0.2">
      <c r="A518" s="560"/>
      <c r="B518" s="560"/>
      <c r="C518" s="560"/>
      <c r="D518" s="560"/>
      <c r="E518" s="561"/>
    </row>
    <row r="519" spans="1:5" x14ac:dyDescent="0.2">
      <c r="A519" s="560"/>
      <c r="B519" s="560"/>
      <c r="C519" s="560"/>
      <c r="D519" s="560"/>
      <c r="E519" s="561"/>
    </row>
    <row r="520" spans="1:5" x14ac:dyDescent="0.2">
      <c r="A520" s="560"/>
      <c r="B520" s="560"/>
      <c r="C520" s="560"/>
      <c r="D520" s="560"/>
      <c r="E520" s="561"/>
    </row>
    <row r="521" spans="1:5" x14ac:dyDescent="0.2">
      <c r="A521" s="560"/>
      <c r="B521" s="560"/>
      <c r="C521" s="560"/>
      <c r="D521" s="560"/>
      <c r="E521" s="561"/>
    </row>
    <row r="522" spans="1:5" x14ac:dyDescent="0.2">
      <c r="A522" s="560"/>
      <c r="B522" s="560"/>
      <c r="C522" s="560"/>
      <c r="D522" s="560"/>
      <c r="E522" s="561"/>
    </row>
    <row r="523" spans="1:5" x14ac:dyDescent="0.2">
      <c r="A523" s="560"/>
      <c r="B523" s="560"/>
      <c r="C523" s="560"/>
      <c r="D523" s="560"/>
      <c r="E523" s="561"/>
    </row>
    <row r="524" spans="1:5" x14ac:dyDescent="0.2">
      <c r="A524" s="560"/>
      <c r="B524" s="560"/>
      <c r="C524" s="560"/>
      <c r="D524" s="560"/>
      <c r="E524" s="561"/>
    </row>
    <row r="525" spans="1:5" x14ac:dyDescent="0.2">
      <c r="A525" s="560"/>
      <c r="B525" s="560"/>
      <c r="C525" s="560"/>
      <c r="D525" s="560"/>
      <c r="E525" s="561"/>
    </row>
    <row r="526" spans="1:5" x14ac:dyDescent="0.2">
      <c r="A526" s="562"/>
      <c r="B526" s="560"/>
      <c r="C526" s="560"/>
      <c r="D526" s="560"/>
      <c r="E526" s="561"/>
    </row>
    <row r="527" spans="1:5" x14ac:dyDescent="0.2">
      <c r="A527" s="560"/>
      <c r="B527" s="560"/>
      <c r="C527" s="560"/>
      <c r="D527" s="560"/>
      <c r="E527" s="561"/>
    </row>
    <row r="528" spans="1:5" x14ac:dyDescent="0.2">
      <c r="A528" s="560"/>
      <c r="B528" s="560"/>
      <c r="C528" s="560"/>
      <c r="D528" s="560"/>
      <c r="E528" s="561"/>
    </row>
    <row r="529" spans="1:5" x14ac:dyDescent="0.2">
      <c r="A529" s="560"/>
      <c r="B529" s="560"/>
      <c r="C529" s="560"/>
      <c r="D529" s="560"/>
      <c r="E529" s="561"/>
    </row>
    <row r="530" spans="1:5" x14ac:dyDescent="0.2">
      <c r="A530" s="560"/>
      <c r="B530" s="560"/>
      <c r="C530" s="560"/>
      <c r="D530" s="560"/>
      <c r="E530" s="561"/>
    </row>
    <row r="531" spans="1:5" x14ac:dyDescent="0.2">
      <c r="A531" s="560"/>
      <c r="B531" s="560"/>
      <c r="C531" s="560"/>
      <c r="D531" s="560"/>
      <c r="E531" s="561"/>
    </row>
    <row r="532" spans="1:5" x14ac:dyDescent="0.2">
      <c r="A532" s="562"/>
      <c r="B532" s="560"/>
      <c r="C532" s="560"/>
      <c r="D532" s="560"/>
      <c r="E532" s="561"/>
    </row>
    <row r="533" spans="1:5" x14ac:dyDescent="0.2">
      <c r="A533" s="560"/>
      <c r="B533" s="560"/>
      <c r="C533" s="560"/>
      <c r="D533" s="560"/>
      <c r="E533" s="561"/>
    </row>
    <row r="534" spans="1:5" x14ac:dyDescent="0.2">
      <c r="A534" s="560"/>
      <c r="B534" s="560"/>
      <c r="C534" s="560"/>
      <c r="D534" s="560"/>
      <c r="E534" s="561"/>
    </row>
    <row r="535" spans="1:5" x14ac:dyDescent="0.2">
      <c r="A535" s="563" t="s">
        <v>1048</v>
      </c>
      <c r="B535" s="563"/>
      <c r="C535" s="563"/>
      <c r="D535" s="563"/>
      <c r="E535" s="565">
        <f>((E509-E510-E511-E512-E513)+(E514+E515+E516+E517+E518+E519+E520+E521+E522))-((E523-E524-E525)+(E526+E527+E528))-((E529-E530-E531)+(E532+E533+E534))</f>
        <v>0</v>
      </c>
    </row>
    <row r="536" spans="1:5" x14ac:dyDescent="0.2">
      <c r="A536" s="560" t="s">
        <v>1005</v>
      </c>
      <c r="B536" s="560" t="s">
        <v>1005</v>
      </c>
      <c r="C536" s="560">
        <v>4000</v>
      </c>
      <c r="D536" s="569" t="s">
        <v>1037</v>
      </c>
      <c r="E536" s="561">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0" t="s">
        <v>1006</v>
      </c>
      <c r="B537" s="560" t="s">
        <v>1005</v>
      </c>
      <c r="C537" s="560">
        <v>4000</v>
      </c>
      <c r="D537" s="560">
        <v>6300</v>
      </c>
      <c r="E537" s="561">
        <f>SUMIFS('Accounting data'!$G$2:$G$37000,'Accounting data'!$H$2:$H$37000,"9999*",'Accounting data'!$J$2:$J$37000,"4*",'Accounting data'!$K$2:$K$37000,"63*")</f>
        <v>0</v>
      </c>
    </row>
    <row r="538" spans="1:5" x14ac:dyDescent="0.2">
      <c r="A538" s="560" t="s">
        <v>1006</v>
      </c>
      <c r="B538" s="560" t="s">
        <v>1005</v>
      </c>
      <c r="C538" s="560">
        <v>4000</v>
      </c>
      <c r="D538" s="560">
        <v>6400</v>
      </c>
      <c r="E538" s="561">
        <f>SUMIFS('Accounting data'!$G$2:$G$37000,'Accounting data'!$H$2:$H$37000,"9999*",'Accounting data'!$J$2:$J$37000,"4*",'Accounting data'!$K$2:$K$37000,"64*")</f>
        <v>0</v>
      </c>
    </row>
    <row r="539" spans="1:5" x14ac:dyDescent="0.2">
      <c r="A539" s="560" t="s">
        <v>1006</v>
      </c>
      <c r="B539" s="560" t="s">
        <v>1005</v>
      </c>
      <c r="C539" s="560">
        <v>4000</v>
      </c>
      <c r="D539" s="560">
        <v>6500</v>
      </c>
      <c r="E539" s="561">
        <f>SUMIFS('Accounting data'!$G$2:$G$37000,'Accounting data'!$H$2:$H$37000,"9999*",'Accounting data'!$J$2:$J$37000,"4*",'Accounting data'!$K$2:$K$37000,"65*")</f>
        <v>0</v>
      </c>
    </row>
    <row r="540" spans="1:5" x14ac:dyDescent="0.2">
      <c r="A540" s="560" t="s">
        <v>1005</v>
      </c>
      <c r="B540" s="560" t="s">
        <v>1007</v>
      </c>
      <c r="C540" s="560">
        <v>4000</v>
      </c>
      <c r="D540" s="569" t="s">
        <v>1037</v>
      </c>
      <c r="E540" s="561">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2" t="s">
        <v>1006</v>
      </c>
      <c r="B541" s="560" t="s">
        <v>1007</v>
      </c>
      <c r="C541" s="560">
        <v>4000</v>
      </c>
      <c r="D541" s="560">
        <v>6300</v>
      </c>
      <c r="E541" s="561">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2" t="s">
        <v>1006</v>
      </c>
      <c r="B542" s="560" t="s">
        <v>1007</v>
      </c>
      <c r="C542" s="560">
        <v>4000</v>
      </c>
      <c r="D542" s="560">
        <v>6400</v>
      </c>
      <c r="E542" s="561">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2" t="s">
        <v>1006</v>
      </c>
      <c r="B543" s="560" t="s">
        <v>1007</v>
      </c>
      <c r="C543" s="560">
        <v>4000</v>
      </c>
      <c r="D543" s="560">
        <v>6500</v>
      </c>
      <c r="E543" s="561">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0"/>
      <c r="B544" s="560"/>
      <c r="C544" s="560"/>
      <c r="D544" s="560"/>
      <c r="E544" s="561"/>
    </row>
    <row r="545" spans="1:5" x14ac:dyDescent="0.2">
      <c r="A545" s="560"/>
      <c r="B545" s="560"/>
      <c r="C545" s="560"/>
      <c r="D545" s="560"/>
      <c r="E545" s="561"/>
    </row>
    <row r="546" spans="1:5" x14ac:dyDescent="0.2">
      <c r="A546" s="560"/>
      <c r="B546" s="560"/>
      <c r="C546" s="560"/>
      <c r="D546" s="560"/>
      <c r="E546" s="561"/>
    </row>
    <row r="547" spans="1:5" x14ac:dyDescent="0.2">
      <c r="A547" s="560"/>
      <c r="B547" s="560"/>
      <c r="C547" s="560"/>
      <c r="D547" s="560"/>
      <c r="E547" s="561"/>
    </row>
    <row r="548" spans="1:5" x14ac:dyDescent="0.2">
      <c r="A548" s="560"/>
      <c r="B548" s="560"/>
      <c r="C548" s="560"/>
      <c r="D548" s="560"/>
      <c r="E548" s="561"/>
    </row>
    <row r="549" spans="1:5" x14ac:dyDescent="0.2">
      <c r="A549" s="560"/>
      <c r="B549" s="560"/>
      <c r="C549" s="560"/>
      <c r="D549" s="560"/>
      <c r="E549" s="561"/>
    </row>
    <row r="550" spans="1:5" x14ac:dyDescent="0.2">
      <c r="A550" s="560"/>
      <c r="B550" s="560"/>
      <c r="C550" s="560"/>
      <c r="D550" s="560"/>
      <c r="E550" s="561"/>
    </row>
    <row r="551" spans="1:5" x14ac:dyDescent="0.2">
      <c r="A551" s="560"/>
      <c r="B551" s="560"/>
      <c r="C551" s="560"/>
      <c r="D551" s="560"/>
      <c r="E551" s="561"/>
    </row>
    <row r="552" spans="1:5" x14ac:dyDescent="0.2">
      <c r="A552" s="560"/>
      <c r="B552" s="560"/>
      <c r="C552" s="560"/>
      <c r="D552" s="560"/>
      <c r="E552" s="561"/>
    </row>
    <row r="553" spans="1:5" x14ac:dyDescent="0.2">
      <c r="A553" s="562"/>
      <c r="B553" s="560"/>
      <c r="C553" s="560"/>
      <c r="D553" s="560"/>
      <c r="E553" s="561"/>
    </row>
    <row r="554" spans="1:5" x14ac:dyDescent="0.2">
      <c r="A554" s="560"/>
      <c r="B554" s="560"/>
      <c r="C554" s="560"/>
      <c r="D554" s="560"/>
      <c r="E554" s="561"/>
    </row>
    <row r="555" spans="1:5" x14ac:dyDescent="0.2">
      <c r="A555" s="560"/>
      <c r="B555" s="560"/>
      <c r="C555" s="560"/>
      <c r="D555" s="560"/>
      <c r="E555" s="561"/>
    </row>
    <row r="556" spans="1:5" x14ac:dyDescent="0.2">
      <c r="A556" s="560"/>
      <c r="B556" s="560"/>
      <c r="C556" s="560"/>
      <c r="D556" s="560"/>
      <c r="E556" s="561"/>
    </row>
    <row r="557" spans="1:5" x14ac:dyDescent="0.2">
      <c r="A557" s="560"/>
      <c r="B557" s="560"/>
      <c r="C557" s="560"/>
      <c r="D557" s="560"/>
      <c r="E557" s="561"/>
    </row>
    <row r="558" spans="1:5" x14ac:dyDescent="0.2">
      <c r="A558" s="560"/>
      <c r="B558" s="560"/>
      <c r="C558" s="560"/>
      <c r="D558" s="560"/>
      <c r="E558" s="561"/>
    </row>
    <row r="559" spans="1:5" x14ac:dyDescent="0.2">
      <c r="A559" s="562"/>
      <c r="B559" s="560"/>
      <c r="C559" s="560"/>
      <c r="D559" s="560"/>
      <c r="E559" s="561"/>
    </row>
    <row r="560" spans="1:5" x14ac:dyDescent="0.2">
      <c r="A560" s="560"/>
      <c r="B560" s="560"/>
      <c r="C560" s="560"/>
      <c r="D560" s="560"/>
      <c r="E560" s="561"/>
    </row>
    <row r="561" spans="1:5" x14ac:dyDescent="0.2">
      <c r="A561" s="560"/>
      <c r="B561" s="560"/>
      <c r="C561" s="560"/>
      <c r="D561" s="560"/>
      <c r="E561" s="561"/>
    </row>
    <row r="562" spans="1:5" x14ac:dyDescent="0.2">
      <c r="A562" s="563" t="s">
        <v>1049</v>
      </c>
      <c r="B562" s="563"/>
      <c r="C562" s="563"/>
      <c r="D562" s="563"/>
      <c r="E562" s="565">
        <f>((E536-E537-E538-E539-E540)+(E541+E542+E543+E544+E545+E546+E547+E548+E549))-((E550-E551-E552)+(E553+E554+E555))-((E556-E557-E558)+(E559+E560+E561))</f>
        <v>0</v>
      </c>
    </row>
    <row r="563" spans="1:5" x14ac:dyDescent="0.2">
      <c r="A563" s="566" t="s">
        <v>1050</v>
      </c>
      <c r="B563" s="566"/>
      <c r="C563" s="566"/>
      <c r="D563" s="566"/>
      <c r="E563" s="570">
        <f>E238+E265+E292+E319+E346+E373+E400+E427+E454+E481+E508+E535</f>
        <v>1176772</v>
      </c>
    </row>
    <row r="564" spans="1:5" ht="15" x14ac:dyDescent="0.25">
      <c r="A564" s="560" t="s">
        <v>1021</v>
      </c>
      <c r="B564" s="560" t="s">
        <v>1005</v>
      </c>
      <c r="C564" s="560">
        <v>1000</v>
      </c>
      <c r="D564" s="560">
        <v>6300</v>
      </c>
      <c r="E564" s="568">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60" t="s">
        <v>1021</v>
      </c>
      <c r="B565" s="560" t="s">
        <v>1005</v>
      </c>
      <c r="C565" s="560">
        <v>2000</v>
      </c>
      <c r="D565" s="560">
        <v>6300</v>
      </c>
      <c r="E565" s="568">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105474</v>
      </c>
    </row>
    <row r="566" spans="1:5" ht="15" x14ac:dyDescent="0.25">
      <c r="A566" s="560" t="s">
        <v>1021</v>
      </c>
      <c r="B566" s="560" t="s">
        <v>1005</v>
      </c>
      <c r="C566" s="560">
        <v>3000</v>
      </c>
      <c r="D566" s="560">
        <v>6300</v>
      </c>
      <c r="E566" s="568">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0" t="s">
        <v>1021</v>
      </c>
      <c r="B567" s="562">
        <v>700</v>
      </c>
      <c r="C567" s="560">
        <v>1000</v>
      </c>
      <c r="D567" s="560">
        <v>6300</v>
      </c>
      <c r="E567" s="568">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0" t="s">
        <v>1021</v>
      </c>
      <c r="B568" s="562">
        <v>800</v>
      </c>
      <c r="C568" s="560">
        <v>1000</v>
      </c>
      <c r="D568" s="560">
        <v>6300</v>
      </c>
      <c r="E568" s="568">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0" t="s">
        <v>1021</v>
      </c>
      <c r="B569" s="562">
        <v>900</v>
      </c>
      <c r="C569" s="560">
        <v>1000</v>
      </c>
      <c r="D569" s="560">
        <v>6300</v>
      </c>
      <c r="E569" s="568">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0" t="s">
        <v>1021</v>
      </c>
      <c r="B570" s="562">
        <v>700</v>
      </c>
      <c r="C570" s="560">
        <v>2000</v>
      </c>
      <c r="D570" s="560">
        <v>6300</v>
      </c>
      <c r="E570" s="561">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0" t="s">
        <v>1021</v>
      </c>
      <c r="B571" s="562">
        <v>800</v>
      </c>
      <c r="C571" s="560">
        <v>2000</v>
      </c>
      <c r="D571" s="560">
        <v>6300</v>
      </c>
      <c r="E571" s="561">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0" t="s">
        <v>1021</v>
      </c>
      <c r="B572" s="562">
        <v>900</v>
      </c>
      <c r="C572" s="560">
        <v>2000</v>
      </c>
      <c r="D572" s="560">
        <v>6300</v>
      </c>
      <c r="E572" s="561">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0" t="s">
        <v>1021</v>
      </c>
      <c r="B573" s="562">
        <v>700</v>
      </c>
      <c r="C573" s="560">
        <v>3000</v>
      </c>
      <c r="D573" s="560">
        <v>6300</v>
      </c>
      <c r="E573" s="561">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0" t="s">
        <v>1021</v>
      </c>
      <c r="B574" s="562">
        <v>800</v>
      </c>
      <c r="C574" s="560">
        <v>3000</v>
      </c>
      <c r="D574" s="560">
        <v>6300</v>
      </c>
      <c r="E574" s="561">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0" t="s">
        <v>1021</v>
      </c>
      <c r="B575" s="562">
        <v>900</v>
      </c>
      <c r="C575" s="560">
        <v>3000</v>
      </c>
      <c r="D575" s="560">
        <v>6300</v>
      </c>
      <c r="E575" s="561">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3" t="s">
        <v>1051</v>
      </c>
      <c r="B576" s="563"/>
      <c r="C576" s="563"/>
      <c r="D576" s="563"/>
      <c r="E576" s="565">
        <f>(E564+E565+E566)-(E567+E568+E569+E570+E571+E572+E573+E574+E575)</f>
        <v>105474</v>
      </c>
    </row>
    <row r="577" spans="1:5" x14ac:dyDescent="0.2">
      <c r="A577" s="560" t="s">
        <v>1021</v>
      </c>
      <c r="B577" s="560" t="s">
        <v>1005</v>
      </c>
      <c r="C577" s="560">
        <v>1000</v>
      </c>
      <c r="D577" s="560">
        <v>6400</v>
      </c>
      <c r="E577" s="561">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0" t="s">
        <v>1021</v>
      </c>
      <c r="B578" s="560" t="s">
        <v>1005</v>
      </c>
      <c r="C578" s="560">
        <v>2000</v>
      </c>
      <c r="D578" s="560">
        <v>6400</v>
      </c>
      <c r="E578" s="561">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0" t="s">
        <v>1021</v>
      </c>
      <c r="B579" s="560" t="s">
        <v>1005</v>
      </c>
      <c r="C579" s="560">
        <v>3000</v>
      </c>
      <c r="D579" s="560">
        <v>6400</v>
      </c>
      <c r="E579" s="561">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0" t="s">
        <v>1021</v>
      </c>
      <c r="B580" s="562">
        <v>700</v>
      </c>
      <c r="C580" s="560">
        <v>1000</v>
      </c>
      <c r="D580" s="560">
        <v>6400</v>
      </c>
      <c r="E580" s="561">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0" t="s">
        <v>1021</v>
      </c>
      <c r="B581" s="562">
        <v>800</v>
      </c>
      <c r="C581" s="560">
        <v>1000</v>
      </c>
      <c r="D581" s="560">
        <v>6400</v>
      </c>
      <c r="E581" s="561">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0" t="s">
        <v>1021</v>
      </c>
      <c r="B582" s="562">
        <v>900</v>
      </c>
      <c r="C582" s="560">
        <v>1000</v>
      </c>
      <c r="D582" s="560">
        <v>6400</v>
      </c>
      <c r="E582" s="561">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0" t="s">
        <v>1021</v>
      </c>
      <c r="B583" s="562">
        <v>700</v>
      </c>
      <c r="C583" s="560">
        <v>2000</v>
      </c>
      <c r="D583" s="560">
        <v>6400</v>
      </c>
      <c r="E583" s="561">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0" t="s">
        <v>1021</v>
      </c>
      <c r="B584" s="562">
        <v>800</v>
      </c>
      <c r="C584" s="560">
        <v>2000</v>
      </c>
      <c r="D584" s="560">
        <v>6400</v>
      </c>
      <c r="E584" s="561">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0" t="s">
        <v>1021</v>
      </c>
      <c r="B585" s="562">
        <v>900</v>
      </c>
      <c r="C585" s="560">
        <v>2000</v>
      </c>
      <c r="D585" s="560">
        <v>6400</v>
      </c>
      <c r="E585" s="561">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0" t="s">
        <v>1021</v>
      </c>
      <c r="B586" s="562">
        <v>700</v>
      </c>
      <c r="C586" s="560">
        <v>3000</v>
      </c>
      <c r="D586" s="560">
        <v>6400</v>
      </c>
      <c r="E586" s="561">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0" t="s">
        <v>1021</v>
      </c>
      <c r="B587" s="562">
        <v>800</v>
      </c>
      <c r="C587" s="560">
        <v>3000</v>
      </c>
      <c r="D587" s="560">
        <v>6400</v>
      </c>
      <c r="E587" s="561">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0" t="s">
        <v>1021</v>
      </c>
      <c r="B588" s="562">
        <v>900</v>
      </c>
      <c r="C588" s="560">
        <v>3000</v>
      </c>
      <c r="D588" s="560">
        <v>6400</v>
      </c>
      <c r="E588" s="561">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3" t="s">
        <v>1052</v>
      </c>
      <c r="B589" s="563"/>
      <c r="C589" s="563"/>
      <c r="D589" s="563"/>
      <c r="E589" s="565">
        <f>(E577+E578+E579)-(E580+E581+E582+E583+E584+E585+E586+E587+E588)</f>
        <v>0</v>
      </c>
    </row>
    <row r="590" spans="1:5" x14ac:dyDescent="0.2">
      <c r="A590" s="560" t="s">
        <v>1021</v>
      </c>
      <c r="B590" s="560" t="s">
        <v>1005</v>
      </c>
      <c r="C590" s="560">
        <v>1000</v>
      </c>
      <c r="D590" s="560">
        <v>6500</v>
      </c>
      <c r="E590" s="561">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0" t="s">
        <v>1021</v>
      </c>
      <c r="B591" s="560" t="s">
        <v>1005</v>
      </c>
      <c r="C591" s="560">
        <v>2000</v>
      </c>
      <c r="D591" s="560">
        <v>6500</v>
      </c>
      <c r="E591" s="561">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0" t="s">
        <v>1021</v>
      </c>
      <c r="B592" s="560" t="s">
        <v>1005</v>
      </c>
      <c r="C592" s="560">
        <v>3000</v>
      </c>
      <c r="D592" s="560">
        <v>6500</v>
      </c>
      <c r="E592" s="561">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0" t="s">
        <v>1021</v>
      </c>
      <c r="B593" s="562">
        <v>700</v>
      </c>
      <c r="C593" s="560">
        <v>1000</v>
      </c>
      <c r="D593" s="560">
        <v>6500</v>
      </c>
      <c r="E593" s="561">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0" t="s">
        <v>1021</v>
      </c>
      <c r="B594" s="562">
        <v>800</v>
      </c>
      <c r="C594" s="560">
        <v>1000</v>
      </c>
      <c r="D594" s="560">
        <v>6500</v>
      </c>
      <c r="E594" s="561">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0" t="s">
        <v>1021</v>
      </c>
      <c r="B595" s="562">
        <v>900</v>
      </c>
      <c r="C595" s="560">
        <v>1000</v>
      </c>
      <c r="D595" s="560">
        <v>6500</v>
      </c>
      <c r="E595" s="561">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0" t="s">
        <v>1021</v>
      </c>
      <c r="B596" s="562">
        <v>700</v>
      </c>
      <c r="C596" s="560">
        <v>2000</v>
      </c>
      <c r="D596" s="560">
        <v>6500</v>
      </c>
      <c r="E596" s="561">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0" t="s">
        <v>1021</v>
      </c>
      <c r="B597" s="562">
        <v>800</v>
      </c>
      <c r="C597" s="560">
        <v>2000</v>
      </c>
      <c r="D597" s="560">
        <v>6500</v>
      </c>
      <c r="E597" s="561">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0" t="s">
        <v>1021</v>
      </c>
      <c r="B598" s="562">
        <v>900</v>
      </c>
      <c r="C598" s="560">
        <v>2000</v>
      </c>
      <c r="D598" s="560">
        <v>6500</v>
      </c>
      <c r="E598" s="561">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0" t="s">
        <v>1021</v>
      </c>
      <c r="B599" s="562">
        <v>700</v>
      </c>
      <c r="C599" s="560">
        <v>3000</v>
      </c>
      <c r="D599" s="560">
        <v>6500</v>
      </c>
      <c r="E599" s="561">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0" t="s">
        <v>1021</v>
      </c>
      <c r="B600" s="562">
        <v>800</v>
      </c>
      <c r="C600" s="560">
        <v>3000</v>
      </c>
      <c r="D600" s="560">
        <v>6500</v>
      </c>
      <c r="E600" s="561">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0" t="s">
        <v>1021</v>
      </c>
      <c r="B601" s="562">
        <v>900</v>
      </c>
      <c r="C601" s="560">
        <v>3000</v>
      </c>
      <c r="D601" s="560">
        <v>6500</v>
      </c>
      <c r="E601" s="561">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3" t="s">
        <v>1053</v>
      </c>
      <c r="B602" s="563"/>
      <c r="C602" s="563"/>
      <c r="D602" s="563"/>
      <c r="E602" s="565">
        <f>(E590+E591+E592)-(E593+E594+E595+E596+E597+E598+E599+E600+E601)</f>
        <v>0</v>
      </c>
    </row>
    <row r="603" spans="1:5" x14ac:dyDescent="0.2">
      <c r="A603" s="560"/>
      <c r="B603" s="560"/>
      <c r="C603" s="560"/>
      <c r="D603" s="560"/>
      <c r="E603" s="561"/>
    </row>
    <row r="604" spans="1:5" x14ac:dyDescent="0.2">
      <c r="A604" s="560"/>
      <c r="B604" s="560"/>
      <c r="C604" s="560"/>
      <c r="D604" s="560"/>
      <c r="E604" s="561"/>
    </row>
    <row r="605" spans="1:5" x14ac:dyDescent="0.2">
      <c r="A605" s="560"/>
      <c r="B605" s="560"/>
      <c r="C605" s="560"/>
      <c r="D605" s="560"/>
      <c r="E605" s="561"/>
    </row>
    <row r="606" spans="1:5" x14ac:dyDescent="0.2">
      <c r="A606" s="560"/>
      <c r="B606" s="562"/>
      <c r="C606" s="560"/>
      <c r="D606" s="560"/>
      <c r="E606" s="561"/>
    </row>
    <row r="607" spans="1:5" x14ac:dyDescent="0.2">
      <c r="A607" s="560"/>
      <c r="B607" s="562"/>
      <c r="C607" s="560"/>
      <c r="D607" s="560"/>
      <c r="E607" s="561"/>
    </row>
    <row r="608" spans="1:5" x14ac:dyDescent="0.2">
      <c r="A608" s="560"/>
      <c r="B608" s="562"/>
      <c r="C608" s="560"/>
      <c r="D608" s="560"/>
      <c r="E608" s="561"/>
    </row>
    <row r="609" spans="1:5" x14ac:dyDescent="0.2">
      <c r="A609" s="560"/>
      <c r="B609" s="562"/>
      <c r="C609" s="560"/>
      <c r="D609" s="560"/>
      <c r="E609" s="561"/>
    </row>
    <row r="610" spans="1:5" x14ac:dyDescent="0.2">
      <c r="A610" s="560"/>
      <c r="B610" s="562"/>
      <c r="C610" s="560"/>
      <c r="D610" s="560"/>
      <c r="E610" s="561"/>
    </row>
    <row r="611" spans="1:5" x14ac:dyDescent="0.2">
      <c r="A611" s="560"/>
      <c r="B611" s="562"/>
      <c r="C611" s="560"/>
      <c r="D611" s="560"/>
      <c r="E611" s="561"/>
    </row>
    <row r="612" spans="1:5" x14ac:dyDescent="0.2">
      <c r="A612" s="560"/>
      <c r="B612" s="562"/>
      <c r="C612" s="560"/>
      <c r="D612" s="560"/>
      <c r="E612" s="561"/>
    </row>
    <row r="613" spans="1:5" x14ac:dyDescent="0.2">
      <c r="A613" s="560"/>
      <c r="B613" s="562"/>
      <c r="C613" s="560"/>
      <c r="D613" s="560"/>
      <c r="E613" s="561"/>
    </row>
    <row r="614" spans="1:5" x14ac:dyDescent="0.2">
      <c r="A614" s="560"/>
      <c r="B614" s="562"/>
      <c r="C614" s="560"/>
      <c r="D614" s="560"/>
      <c r="E614" s="561"/>
    </row>
    <row r="615" spans="1:5" x14ac:dyDescent="0.2">
      <c r="A615" s="563"/>
      <c r="B615" s="563"/>
      <c r="C615" s="563"/>
      <c r="D615" s="563"/>
      <c r="E615" s="565"/>
    </row>
    <row r="616" spans="1:5" x14ac:dyDescent="0.2">
      <c r="A616" s="560"/>
      <c r="B616" s="560"/>
      <c r="C616" s="560"/>
      <c r="D616" s="560"/>
      <c r="E616" s="561"/>
    </row>
    <row r="617" spans="1:5" x14ac:dyDescent="0.2">
      <c r="A617" s="560"/>
      <c r="B617" s="560"/>
      <c r="C617" s="560"/>
      <c r="D617" s="560"/>
      <c r="E617" s="561"/>
    </row>
    <row r="618" spans="1:5" x14ac:dyDescent="0.2">
      <c r="A618" s="560"/>
      <c r="B618" s="560"/>
      <c r="C618" s="560"/>
      <c r="D618" s="560"/>
      <c r="E618" s="561"/>
    </row>
    <row r="619" spans="1:5" x14ac:dyDescent="0.2">
      <c r="A619" s="560"/>
      <c r="B619" s="562"/>
      <c r="C619" s="560"/>
      <c r="D619" s="560"/>
      <c r="E619" s="561"/>
    </row>
    <row r="620" spans="1:5" x14ac:dyDescent="0.2">
      <c r="A620" s="560"/>
      <c r="B620" s="562"/>
      <c r="C620" s="560"/>
      <c r="D620" s="560"/>
      <c r="E620" s="561"/>
    </row>
    <row r="621" spans="1:5" x14ac:dyDescent="0.2">
      <c r="A621" s="560"/>
      <c r="B621" s="562"/>
      <c r="C621" s="560"/>
      <c r="D621" s="560"/>
      <c r="E621" s="561"/>
    </row>
    <row r="622" spans="1:5" x14ac:dyDescent="0.2">
      <c r="A622" s="560"/>
      <c r="B622" s="562"/>
      <c r="C622" s="560"/>
      <c r="D622" s="560"/>
      <c r="E622" s="561"/>
    </row>
    <row r="623" spans="1:5" x14ac:dyDescent="0.2">
      <c r="A623" s="560"/>
      <c r="B623" s="562"/>
      <c r="C623" s="560"/>
      <c r="D623" s="560"/>
      <c r="E623" s="561"/>
    </row>
    <row r="624" spans="1:5" x14ac:dyDescent="0.2">
      <c r="A624" s="560"/>
      <c r="B624" s="562"/>
      <c r="C624" s="560"/>
      <c r="D624" s="560"/>
      <c r="E624" s="561"/>
    </row>
    <row r="625" spans="1:5" x14ac:dyDescent="0.2">
      <c r="A625" s="560"/>
      <c r="B625" s="562"/>
      <c r="C625" s="560"/>
      <c r="D625" s="560"/>
      <c r="E625" s="561"/>
    </row>
    <row r="626" spans="1:5" x14ac:dyDescent="0.2">
      <c r="A626" s="560"/>
      <c r="B626" s="562"/>
      <c r="C626" s="560"/>
      <c r="D626" s="560"/>
      <c r="E626" s="561"/>
    </row>
    <row r="627" spans="1:5" x14ac:dyDescent="0.2">
      <c r="A627" s="560"/>
      <c r="B627" s="562"/>
      <c r="C627" s="560"/>
      <c r="D627" s="560"/>
      <c r="E627" s="561"/>
    </row>
    <row r="628" spans="1:5" x14ac:dyDescent="0.2">
      <c r="A628" s="563"/>
      <c r="B628" s="563"/>
      <c r="C628" s="563"/>
      <c r="D628" s="563"/>
      <c r="E628" s="565"/>
    </row>
    <row r="629" spans="1:5" x14ac:dyDescent="0.2">
      <c r="A629" s="566" t="s">
        <v>1054</v>
      </c>
      <c r="B629" s="566"/>
      <c r="C629" s="566"/>
      <c r="D629" s="566"/>
      <c r="E629" s="570">
        <f>(E576+E589+E602)-(E615+E628)</f>
        <v>105474</v>
      </c>
    </row>
    <row r="630" spans="1:5" x14ac:dyDescent="0.2">
      <c r="A630" s="560" t="s">
        <v>1005</v>
      </c>
      <c r="B630" s="560" t="s">
        <v>1005</v>
      </c>
      <c r="C630" s="560">
        <v>1000</v>
      </c>
      <c r="D630" s="560">
        <v>6600</v>
      </c>
      <c r="E630" s="561">
        <f>SUMIFS('Accounting data'!$G$2:$G$37000,'Accounting data'!$J$2:$J$37000,"1*",'Accounting data'!$K$2:$K$37000,"66*")</f>
        <v>126717</v>
      </c>
    </row>
    <row r="631" spans="1:5" x14ac:dyDescent="0.2">
      <c r="A631" s="560" t="s">
        <v>1006</v>
      </c>
      <c r="B631" s="560" t="s">
        <v>1005</v>
      </c>
      <c r="C631" s="560">
        <v>1000</v>
      </c>
      <c r="D631" s="560">
        <v>6600</v>
      </c>
      <c r="E631" s="561">
        <f>SUMIFS('Accounting data'!$G$2:$G$37000,'Accounting data'!$H$2:$H$37000,"9999*",'Accounting data'!$J$2:$J$37000,"1*",'Accounting data'!$K$2:$K$37000,"66*")</f>
        <v>0</v>
      </c>
    </row>
    <row r="632" spans="1:5" x14ac:dyDescent="0.2">
      <c r="A632" s="560" t="s">
        <v>1005</v>
      </c>
      <c r="B632" s="560" t="s">
        <v>1007</v>
      </c>
      <c r="C632" s="560">
        <v>1000</v>
      </c>
      <c r="D632" s="560">
        <v>6600</v>
      </c>
      <c r="E632" s="561">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62" t="s">
        <v>1006</v>
      </c>
      <c r="B633" s="560" t="s">
        <v>1007</v>
      </c>
      <c r="C633" s="560">
        <v>1000</v>
      </c>
      <c r="D633" s="560">
        <v>6600</v>
      </c>
      <c r="E633" s="561">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0"/>
      <c r="B634" s="560"/>
      <c r="C634" s="560"/>
      <c r="D634" s="560"/>
      <c r="E634" s="561"/>
    </row>
    <row r="635" spans="1:5" x14ac:dyDescent="0.2">
      <c r="A635" s="560"/>
      <c r="B635" s="560"/>
      <c r="C635" s="560"/>
      <c r="D635" s="560"/>
      <c r="E635" s="561"/>
    </row>
    <row r="636" spans="1:5" x14ac:dyDescent="0.2">
      <c r="A636" s="563" t="s">
        <v>1055</v>
      </c>
      <c r="B636" s="563"/>
      <c r="C636" s="563"/>
      <c r="D636" s="563"/>
      <c r="E636" s="565">
        <f>(E630-E631-E632)+(E633+E634+E635)</f>
        <v>126717</v>
      </c>
    </row>
    <row r="637" spans="1:5" x14ac:dyDescent="0.2">
      <c r="A637" s="560" t="s">
        <v>1005</v>
      </c>
      <c r="B637" s="560" t="s">
        <v>1005</v>
      </c>
      <c r="C637" s="560">
        <v>2100</v>
      </c>
      <c r="D637" s="560">
        <v>6600</v>
      </c>
      <c r="E637" s="561">
        <f>SUMIFS('Accounting data'!$G$2:$G$37000,'Accounting data'!$J$2:$J$37000,"21*",'Accounting data'!$K$2:$K$37000,"66*")</f>
        <v>31180</v>
      </c>
    </row>
    <row r="638" spans="1:5" x14ac:dyDescent="0.2">
      <c r="A638" s="560" t="s">
        <v>1006</v>
      </c>
      <c r="B638" s="560" t="s">
        <v>1005</v>
      </c>
      <c r="C638" s="560">
        <v>2100</v>
      </c>
      <c r="D638" s="560">
        <v>6600</v>
      </c>
      <c r="E638" s="561">
        <f>SUMIFS('Accounting data'!$G$2:$G$37000,'Accounting data'!$H$2:$H$37000,"9999*",'Accounting data'!$J$2:$J$37000,"21*",'Accounting data'!$K$2:$K$37000,"66*")</f>
        <v>0</v>
      </c>
    </row>
    <row r="639" spans="1:5" x14ac:dyDescent="0.2">
      <c r="A639" s="560" t="s">
        <v>1005</v>
      </c>
      <c r="B639" s="560" t="s">
        <v>1007</v>
      </c>
      <c r="C639" s="560">
        <v>2100</v>
      </c>
      <c r="D639" s="560">
        <v>6600</v>
      </c>
      <c r="E639" s="561">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62" t="s">
        <v>1006</v>
      </c>
      <c r="B640" s="560" t="s">
        <v>1007</v>
      </c>
      <c r="C640" s="560">
        <v>2100</v>
      </c>
      <c r="D640" s="560">
        <v>6600</v>
      </c>
      <c r="E640" s="561">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0"/>
      <c r="B641" s="560"/>
      <c r="C641" s="560"/>
      <c r="D641" s="560"/>
      <c r="E641" s="561"/>
    </row>
    <row r="642" spans="1:5" x14ac:dyDescent="0.2">
      <c r="A642" s="560"/>
      <c r="B642" s="560"/>
      <c r="C642" s="560"/>
      <c r="D642" s="560"/>
      <c r="E642" s="561"/>
    </row>
    <row r="643" spans="1:5" x14ac:dyDescent="0.2">
      <c r="A643" s="563" t="s">
        <v>1056</v>
      </c>
      <c r="B643" s="563"/>
      <c r="C643" s="563"/>
      <c r="D643" s="563"/>
      <c r="E643" s="565">
        <f>(E637-E638-E639)+(E640+E641+E642)</f>
        <v>31180</v>
      </c>
    </row>
    <row r="644" spans="1:5" x14ac:dyDescent="0.2">
      <c r="A644" s="560" t="s">
        <v>1005</v>
      </c>
      <c r="B644" s="560" t="s">
        <v>1005</v>
      </c>
      <c r="C644" s="560">
        <v>2200</v>
      </c>
      <c r="D644" s="560">
        <v>6600</v>
      </c>
      <c r="E644" s="561">
        <f>SUMIFS('Accounting data'!$G$2:$G$37000,'Accounting data'!$J$2:$J$37000,"22*",'Accounting data'!$K$2:$K$37000,"66*")</f>
        <v>1895</v>
      </c>
    </row>
    <row r="645" spans="1:5" x14ac:dyDescent="0.2">
      <c r="A645" s="560" t="s">
        <v>1006</v>
      </c>
      <c r="B645" s="560" t="s">
        <v>1005</v>
      </c>
      <c r="C645" s="560">
        <v>2200</v>
      </c>
      <c r="D645" s="560">
        <v>6600</v>
      </c>
      <c r="E645" s="561">
        <f>SUMIFS('Accounting data'!$G$2:$G$37000,'Accounting data'!$H$2:$H$37000,"9999*",'Accounting data'!$J$2:$J$37000,"22*",'Accounting data'!$K$2:$K$37000,"66*")</f>
        <v>0</v>
      </c>
    </row>
    <row r="646" spans="1:5" x14ac:dyDescent="0.2">
      <c r="A646" s="560" t="s">
        <v>1005</v>
      </c>
      <c r="B646" s="560" t="s">
        <v>1007</v>
      </c>
      <c r="C646" s="560">
        <v>2200</v>
      </c>
      <c r="D646" s="560">
        <v>6600</v>
      </c>
      <c r="E646" s="561">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2" t="s">
        <v>1006</v>
      </c>
      <c r="B647" s="560" t="s">
        <v>1007</v>
      </c>
      <c r="C647" s="560">
        <v>2200</v>
      </c>
      <c r="D647" s="560">
        <v>6600</v>
      </c>
      <c r="E647" s="561">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0"/>
      <c r="B648" s="560"/>
      <c r="C648" s="560"/>
      <c r="D648" s="560"/>
      <c r="E648" s="561"/>
    </row>
    <row r="649" spans="1:5" x14ac:dyDescent="0.2">
      <c r="A649" s="560"/>
      <c r="B649" s="560"/>
      <c r="C649" s="560"/>
      <c r="D649" s="560"/>
      <c r="E649" s="561"/>
    </row>
    <row r="650" spans="1:5" x14ac:dyDescent="0.2">
      <c r="A650" s="563" t="s">
        <v>1057</v>
      </c>
      <c r="B650" s="563"/>
      <c r="C650" s="563"/>
      <c r="D650" s="563"/>
      <c r="E650" s="565">
        <f>(E644-E645-E646)+(E647+E648+E649)</f>
        <v>1895</v>
      </c>
    </row>
    <row r="651" spans="1:5" x14ac:dyDescent="0.2">
      <c r="A651" s="560" t="s">
        <v>1005</v>
      </c>
      <c r="B651" s="560" t="s">
        <v>1005</v>
      </c>
      <c r="C651" s="560">
        <v>2300</v>
      </c>
      <c r="D651" s="560">
        <v>6600</v>
      </c>
      <c r="E651" s="561">
        <f>SUMIFS('Accounting data'!$G$2:$G$37000,'Accounting data'!$J$2:$J$37000,"23*",'Accounting data'!$K$2:$K$37000,"66*")</f>
        <v>629</v>
      </c>
    </row>
    <row r="652" spans="1:5" x14ac:dyDescent="0.2">
      <c r="A652" s="560" t="s">
        <v>1006</v>
      </c>
      <c r="B652" s="560" t="s">
        <v>1005</v>
      </c>
      <c r="C652" s="560">
        <v>2300</v>
      </c>
      <c r="D652" s="560">
        <v>6600</v>
      </c>
      <c r="E652" s="561">
        <f>SUMIFS('Accounting data'!$G$2:$G$37000,'Accounting data'!$H$2:$H$37000,"9999*",'Accounting data'!$J$2:$J$37000,"23*",'Accounting data'!$K$2:$K$37000,"66*")</f>
        <v>0</v>
      </c>
    </row>
    <row r="653" spans="1:5" x14ac:dyDescent="0.2">
      <c r="A653" s="560" t="s">
        <v>1005</v>
      </c>
      <c r="B653" s="560" t="s">
        <v>1007</v>
      </c>
      <c r="C653" s="560">
        <v>2300</v>
      </c>
      <c r="D653" s="560">
        <v>6600</v>
      </c>
      <c r="E653" s="561">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2" t="s">
        <v>1006</v>
      </c>
      <c r="B654" s="560" t="s">
        <v>1007</v>
      </c>
      <c r="C654" s="560">
        <v>2300</v>
      </c>
      <c r="D654" s="560">
        <v>6600</v>
      </c>
      <c r="E654" s="561">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0"/>
      <c r="B655" s="560"/>
      <c r="C655" s="560"/>
      <c r="D655" s="560"/>
      <c r="E655" s="561"/>
    </row>
    <row r="656" spans="1:5" x14ac:dyDescent="0.2">
      <c r="A656" s="560"/>
      <c r="B656" s="560"/>
      <c r="C656" s="560"/>
      <c r="D656" s="560"/>
      <c r="E656" s="561"/>
    </row>
    <row r="657" spans="1:5" x14ac:dyDescent="0.2">
      <c r="A657" s="563" t="s">
        <v>1058</v>
      </c>
      <c r="B657" s="563"/>
      <c r="C657" s="563"/>
      <c r="D657" s="563"/>
      <c r="E657" s="565">
        <f>(E651-E652-E653)+(E654+E655+E656)</f>
        <v>629</v>
      </c>
    </row>
    <row r="658" spans="1:5" x14ac:dyDescent="0.2">
      <c r="A658" s="560" t="s">
        <v>1005</v>
      </c>
      <c r="B658" s="560" t="s">
        <v>1005</v>
      </c>
      <c r="C658" s="560">
        <v>2400</v>
      </c>
      <c r="D658" s="560">
        <v>6600</v>
      </c>
      <c r="E658" s="561">
        <f>SUMIFS('Accounting data'!$G$2:$G$37000,'Accounting data'!$J$2:$J$37000,"24*",'Accounting data'!$K$2:$K$37000,"66*")</f>
        <v>6058</v>
      </c>
    </row>
    <row r="659" spans="1:5" x14ac:dyDescent="0.2">
      <c r="A659" s="560" t="s">
        <v>1006</v>
      </c>
      <c r="B659" s="560" t="s">
        <v>1005</v>
      </c>
      <c r="C659" s="560">
        <v>2400</v>
      </c>
      <c r="D659" s="560">
        <v>6600</v>
      </c>
      <c r="E659" s="561">
        <f>SUMIFS('Accounting data'!$G$2:$G$37000,'Accounting data'!$H$2:$H$37000,"9999*",'Accounting data'!$J$2:$J$37000,"24*",'Accounting data'!$K$2:$K$37000,"66*")</f>
        <v>0</v>
      </c>
    </row>
    <row r="660" spans="1:5" x14ac:dyDescent="0.2">
      <c r="A660" s="560" t="s">
        <v>1005</v>
      </c>
      <c r="B660" s="560" t="s">
        <v>1007</v>
      </c>
      <c r="C660" s="560">
        <v>2400</v>
      </c>
      <c r="D660" s="560">
        <v>6600</v>
      </c>
      <c r="E660" s="561">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2" t="s">
        <v>1006</v>
      </c>
      <c r="B661" s="560" t="s">
        <v>1007</v>
      </c>
      <c r="C661" s="560">
        <v>2400</v>
      </c>
      <c r="D661" s="560">
        <v>6600</v>
      </c>
      <c r="E661" s="561">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0"/>
      <c r="B662" s="560"/>
      <c r="C662" s="560"/>
      <c r="D662" s="560"/>
      <c r="E662" s="561"/>
    </row>
    <row r="663" spans="1:5" x14ac:dyDescent="0.2">
      <c r="A663" s="560"/>
      <c r="B663" s="560"/>
      <c r="C663" s="560"/>
      <c r="D663" s="560"/>
      <c r="E663" s="561"/>
    </row>
    <row r="664" spans="1:5" x14ac:dyDescent="0.2">
      <c r="A664" s="563" t="s">
        <v>1059</v>
      </c>
      <c r="B664" s="563"/>
      <c r="C664" s="563"/>
      <c r="D664" s="563"/>
      <c r="E664" s="565">
        <f>(E658-E659-E660)+(E661+E662+E663)</f>
        <v>6058</v>
      </c>
    </row>
    <row r="665" spans="1:5" x14ac:dyDescent="0.2">
      <c r="A665" s="560" t="s">
        <v>1005</v>
      </c>
      <c r="B665" s="560" t="s">
        <v>1005</v>
      </c>
      <c r="C665" s="560">
        <v>2500</v>
      </c>
      <c r="D665" s="560">
        <v>6600</v>
      </c>
      <c r="E665" s="561">
        <f>SUMIFS('Accounting data'!$G$2:$G$37000,'Accounting data'!$J$2:$J$37000,"25*",'Accounting data'!$K$2:$K$37000,"66*")</f>
        <v>20091</v>
      </c>
    </row>
    <row r="666" spans="1:5" x14ac:dyDescent="0.2">
      <c r="A666" s="560" t="s">
        <v>1006</v>
      </c>
      <c r="B666" s="560" t="s">
        <v>1005</v>
      </c>
      <c r="C666" s="560">
        <v>2500</v>
      </c>
      <c r="D666" s="560">
        <v>6600</v>
      </c>
      <c r="E666" s="561">
        <f>SUMIFS('Accounting data'!$G$2:$G$37000,'Accounting data'!$H$2:$H$37000,"9999*",'Accounting data'!$J$2:$J$37000,"25*",'Accounting data'!$K$2:$K$37000,"66*")</f>
        <v>0</v>
      </c>
    </row>
    <row r="667" spans="1:5" x14ac:dyDescent="0.2">
      <c r="A667" s="560" t="s">
        <v>1005</v>
      </c>
      <c r="B667" s="560" t="s">
        <v>1007</v>
      </c>
      <c r="C667" s="560">
        <v>2500</v>
      </c>
      <c r="D667" s="560">
        <v>6600</v>
      </c>
      <c r="E667" s="561">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2" t="s">
        <v>1006</v>
      </c>
      <c r="B668" s="560" t="s">
        <v>1007</v>
      </c>
      <c r="C668" s="560">
        <v>2500</v>
      </c>
      <c r="D668" s="560">
        <v>6600</v>
      </c>
      <c r="E668" s="561">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0"/>
      <c r="B669" s="560"/>
      <c r="C669" s="560"/>
      <c r="D669" s="560"/>
      <c r="E669" s="561"/>
    </row>
    <row r="670" spans="1:5" x14ac:dyDescent="0.2">
      <c r="A670" s="560"/>
      <c r="B670" s="560"/>
      <c r="C670" s="560"/>
      <c r="D670" s="560"/>
      <c r="E670" s="561"/>
    </row>
    <row r="671" spans="1:5" x14ac:dyDescent="0.2">
      <c r="A671" s="563" t="s">
        <v>1060</v>
      </c>
      <c r="B671" s="563"/>
      <c r="C671" s="563"/>
      <c r="D671" s="563"/>
      <c r="E671" s="565">
        <f>(E665-E666-E667)+(E668+E669+E670)</f>
        <v>20091</v>
      </c>
    </row>
    <row r="672" spans="1:5" x14ac:dyDescent="0.2">
      <c r="A672" s="560" t="s">
        <v>1005</v>
      </c>
      <c r="B672" s="560" t="s">
        <v>1005</v>
      </c>
      <c r="C672" s="560">
        <v>2900</v>
      </c>
      <c r="D672" s="560">
        <v>6600</v>
      </c>
      <c r="E672" s="561">
        <f>SUMIFS('Accounting data'!$G$2:$G$37000,'Accounting data'!$J$2:$J$37000,"29*",'Accounting data'!$K$2:$K$37000,"66*")</f>
        <v>0</v>
      </c>
    </row>
    <row r="673" spans="1:5" x14ac:dyDescent="0.2">
      <c r="A673" s="560" t="s">
        <v>1006</v>
      </c>
      <c r="B673" s="560" t="s">
        <v>1005</v>
      </c>
      <c r="C673" s="560">
        <v>2900</v>
      </c>
      <c r="D673" s="560">
        <v>6600</v>
      </c>
      <c r="E673" s="561">
        <f>SUMIFS('Accounting data'!$G$2:$G$37000,'Accounting data'!$H$2:$H$37000,"9999*",'Accounting data'!$J$2:$J$37000,"29*",'Accounting data'!$K$2:$K$37000,"66*")</f>
        <v>0</v>
      </c>
    </row>
    <row r="674" spans="1:5" x14ac:dyDescent="0.2">
      <c r="A674" s="560" t="s">
        <v>1005</v>
      </c>
      <c r="B674" s="560" t="s">
        <v>1007</v>
      </c>
      <c r="C674" s="560">
        <v>2900</v>
      </c>
      <c r="D674" s="560">
        <v>6600</v>
      </c>
      <c r="E674" s="561">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2" t="s">
        <v>1006</v>
      </c>
      <c r="B675" s="560" t="s">
        <v>1007</v>
      </c>
      <c r="C675" s="560">
        <v>2900</v>
      </c>
      <c r="D675" s="560">
        <v>6600</v>
      </c>
      <c r="E675" s="561">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0"/>
      <c r="B676" s="560"/>
      <c r="C676" s="560"/>
      <c r="D676" s="560"/>
      <c r="E676" s="561"/>
    </row>
    <row r="677" spans="1:5" x14ac:dyDescent="0.2">
      <c r="A677" s="560"/>
      <c r="B677" s="560"/>
      <c r="C677" s="560"/>
      <c r="D677" s="560"/>
      <c r="E677" s="561"/>
    </row>
    <row r="678" spans="1:5" x14ac:dyDescent="0.2">
      <c r="A678" s="563" t="s">
        <v>1061</v>
      </c>
      <c r="B678" s="563"/>
      <c r="C678" s="563"/>
      <c r="D678" s="563"/>
      <c r="E678" s="565">
        <f>(E672-E673-E674)+(E675+E676+E677)</f>
        <v>0</v>
      </c>
    </row>
    <row r="679" spans="1:5" x14ac:dyDescent="0.2">
      <c r="A679" s="560" t="s">
        <v>1005</v>
      </c>
      <c r="B679" s="560" t="s">
        <v>1005</v>
      </c>
      <c r="C679" s="560">
        <v>2600</v>
      </c>
      <c r="D679" s="560">
        <v>6600</v>
      </c>
      <c r="E679" s="561">
        <f>SUMIFS('Accounting data'!$G$2:$G$37000,'Accounting data'!$J$2:$J$37000,"26*",'Accounting data'!$K$2:$K$37000,"66*")</f>
        <v>114760</v>
      </c>
    </row>
    <row r="680" spans="1:5" x14ac:dyDescent="0.2">
      <c r="A680" s="560" t="s">
        <v>1006</v>
      </c>
      <c r="B680" s="560" t="s">
        <v>1005</v>
      </c>
      <c r="C680" s="560">
        <v>2600</v>
      </c>
      <c r="D680" s="560">
        <v>6600</v>
      </c>
      <c r="E680" s="561">
        <f>SUMIFS('Accounting data'!$G$2:$G$37000,'Accounting data'!$H$2:$H$37000,"9999*",'Accounting data'!$J$2:$J$37000,"26*",'Accounting data'!$K$2:$K$37000,"66*")</f>
        <v>0</v>
      </c>
    </row>
    <row r="681" spans="1:5" x14ac:dyDescent="0.2">
      <c r="A681" s="560" t="s">
        <v>1005</v>
      </c>
      <c r="B681" s="560" t="s">
        <v>1007</v>
      </c>
      <c r="C681" s="560">
        <v>2600</v>
      </c>
      <c r="D681" s="560">
        <v>6600</v>
      </c>
      <c r="E681" s="561">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2" t="s">
        <v>1006</v>
      </c>
      <c r="B682" s="560" t="s">
        <v>1007</v>
      </c>
      <c r="C682" s="560">
        <v>2600</v>
      </c>
      <c r="D682" s="560">
        <v>6600</v>
      </c>
      <c r="E682" s="561">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0"/>
      <c r="B683" s="560"/>
      <c r="C683" s="560"/>
      <c r="D683" s="560"/>
      <c r="E683" s="561"/>
    </row>
    <row r="684" spans="1:5" x14ac:dyDescent="0.2">
      <c r="A684" s="560"/>
      <c r="B684" s="560"/>
      <c r="C684" s="560"/>
      <c r="D684" s="560"/>
      <c r="E684" s="561"/>
    </row>
    <row r="685" spans="1:5" x14ac:dyDescent="0.2">
      <c r="A685" s="563" t="s">
        <v>1062</v>
      </c>
      <c r="B685" s="563"/>
      <c r="C685" s="563"/>
      <c r="D685" s="563"/>
      <c r="E685" s="565">
        <f>(E679-E680-E681)+(E682+E683+E684)</f>
        <v>114760</v>
      </c>
    </row>
    <row r="686" spans="1:5" x14ac:dyDescent="0.2">
      <c r="A686" s="560" t="s">
        <v>1005</v>
      </c>
      <c r="B686" s="560" t="s">
        <v>1005</v>
      </c>
      <c r="C686" s="560">
        <v>2700</v>
      </c>
      <c r="D686" s="560">
        <v>6600</v>
      </c>
      <c r="E686" s="561">
        <f>SUMIFS('Accounting data'!$G$2:$G$37000,'Accounting data'!$J$2:$J$37000,"27*",'Accounting data'!$K$2:$K$37000,"66*")</f>
        <v>0</v>
      </c>
    </row>
    <row r="687" spans="1:5" x14ac:dyDescent="0.2">
      <c r="A687" s="560" t="s">
        <v>1006</v>
      </c>
      <c r="B687" s="560" t="s">
        <v>1005</v>
      </c>
      <c r="C687" s="560">
        <v>2700</v>
      </c>
      <c r="D687" s="560">
        <v>6600</v>
      </c>
      <c r="E687" s="561">
        <f>SUMIFS('Accounting data'!$G$2:$G$37000,'Accounting data'!$H$2:$H$37000,"9999*",'Accounting data'!$J$2:$J$37000,"27*",'Accounting data'!$K$2:$K$37000,"66*")</f>
        <v>0</v>
      </c>
    </row>
    <row r="688" spans="1:5" x14ac:dyDescent="0.2">
      <c r="A688" s="560" t="s">
        <v>1005</v>
      </c>
      <c r="B688" s="560" t="s">
        <v>1007</v>
      </c>
      <c r="C688" s="560">
        <v>2700</v>
      </c>
      <c r="D688" s="560">
        <v>6600</v>
      </c>
      <c r="E688" s="561">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2" t="s">
        <v>1006</v>
      </c>
      <c r="B689" s="560" t="s">
        <v>1007</v>
      </c>
      <c r="C689" s="560">
        <v>2700</v>
      </c>
      <c r="D689" s="560">
        <v>6600</v>
      </c>
      <c r="E689" s="561">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0"/>
      <c r="B690" s="560"/>
      <c r="C690" s="560"/>
      <c r="D690" s="560"/>
      <c r="E690" s="561"/>
    </row>
    <row r="691" spans="1:5" x14ac:dyDescent="0.2">
      <c r="A691" s="560"/>
      <c r="B691" s="560"/>
      <c r="C691" s="560"/>
      <c r="D691" s="560"/>
      <c r="E691" s="561"/>
    </row>
    <row r="692" spans="1:5" x14ac:dyDescent="0.2">
      <c r="A692" s="563" t="s">
        <v>1063</v>
      </c>
      <c r="B692" s="563"/>
      <c r="C692" s="563"/>
      <c r="D692" s="563"/>
      <c r="E692" s="565">
        <f>(E686-E687-E688)+(E689+E690+E691)</f>
        <v>0</v>
      </c>
    </row>
    <row r="693" spans="1:5" x14ac:dyDescent="0.2">
      <c r="A693" s="560" t="s">
        <v>1005</v>
      </c>
      <c r="B693" s="560" t="s">
        <v>1005</v>
      </c>
      <c r="C693" s="560">
        <v>3100</v>
      </c>
      <c r="D693" s="560">
        <v>6600</v>
      </c>
      <c r="E693" s="561">
        <f>SUMIFS('Accounting data'!$G$2:$G$37000,'Accounting data'!$J$2:$J$37000,"31*",'Accounting data'!$K$2:$K$37000,"66*")</f>
        <v>171098</v>
      </c>
    </row>
    <row r="694" spans="1:5" x14ac:dyDescent="0.2">
      <c r="A694" s="560" t="s">
        <v>1006</v>
      </c>
      <c r="B694" s="560" t="s">
        <v>1005</v>
      </c>
      <c r="C694" s="560">
        <v>3100</v>
      </c>
      <c r="D694" s="560">
        <v>6600</v>
      </c>
      <c r="E694" s="561">
        <f>SUMIFS('Accounting data'!$G$2:$G$37000,'Accounting data'!$H$2:$H$37000,"9999*",'Accounting data'!$J$2:$J$37000,"31*",'Accounting data'!$K$2:$K$37000,"66*")</f>
        <v>0</v>
      </c>
    </row>
    <row r="695" spans="1:5" x14ac:dyDescent="0.2">
      <c r="A695" s="560" t="s">
        <v>1005</v>
      </c>
      <c r="B695" s="560" t="s">
        <v>1007</v>
      </c>
      <c r="C695" s="560">
        <v>3100</v>
      </c>
      <c r="D695" s="560">
        <v>6600</v>
      </c>
      <c r="E695" s="561">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2" t="s">
        <v>1006</v>
      </c>
      <c r="B696" s="560" t="s">
        <v>1007</v>
      </c>
      <c r="C696" s="560">
        <v>3100</v>
      </c>
      <c r="D696" s="560">
        <v>6600</v>
      </c>
      <c r="E696" s="561">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0"/>
      <c r="B697" s="560"/>
      <c r="C697" s="560"/>
      <c r="D697" s="560"/>
      <c r="E697" s="561"/>
    </row>
    <row r="698" spans="1:5" x14ac:dyDescent="0.2">
      <c r="A698" s="560"/>
      <c r="B698" s="560"/>
      <c r="C698" s="560"/>
      <c r="D698" s="560"/>
      <c r="E698" s="561"/>
    </row>
    <row r="699" spans="1:5" x14ac:dyDescent="0.2">
      <c r="A699" s="563" t="s">
        <v>1064</v>
      </c>
      <c r="B699" s="563"/>
      <c r="C699" s="563"/>
      <c r="D699" s="563"/>
      <c r="E699" s="565">
        <f>(E693-E694-E695)+(E696+E697+E698)</f>
        <v>171098</v>
      </c>
    </row>
    <row r="700" spans="1:5" x14ac:dyDescent="0.2">
      <c r="A700" s="560"/>
      <c r="B700" s="560"/>
      <c r="C700" s="560"/>
      <c r="D700" s="560"/>
      <c r="E700" s="561"/>
    </row>
    <row r="701" spans="1:5" x14ac:dyDescent="0.2">
      <c r="A701" s="560"/>
      <c r="B701" s="560"/>
      <c r="C701" s="560"/>
      <c r="D701" s="560"/>
      <c r="E701" s="561"/>
    </row>
    <row r="702" spans="1:5" x14ac:dyDescent="0.2">
      <c r="A702" s="560"/>
      <c r="B702" s="560"/>
      <c r="C702" s="560"/>
      <c r="D702" s="560"/>
      <c r="E702" s="561"/>
    </row>
    <row r="703" spans="1:5" x14ac:dyDescent="0.2">
      <c r="A703" s="562"/>
      <c r="B703" s="560"/>
      <c r="C703" s="560"/>
      <c r="D703" s="560"/>
      <c r="E703" s="561"/>
    </row>
    <row r="704" spans="1:5" x14ac:dyDescent="0.2">
      <c r="A704" s="560"/>
      <c r="B704" s="560"/>
      <c r="C704" s="560"/>
      <c r="D704" s="560"/>
      <c r="E704" s="561"/>
    </row>
    <row r="705" spans="1:5" x14ac:dyDescent="0.2">
      <c r="A705" s="560"/>
      <c r="B705" s="560"/>
      <c r="C705" s="560"/>
      <c r="D705" s="560"/>
      <c r="E705" s="561"/>
    </row>
    <row r="706" spans="1:5" x14ac:dyDescent="0.2">
      <c r="A706" s="563"/>
      <c r="B706" s="563"/>
      <c r="C706" s="563"/>
      <c r="D706" s="563"/>
      <c r="E706" s="565"/>
    </row>
    <row r="707" spans="1:5" x14ac:dyDescent="0.2">
      <c r="A707" s="560" t="s">
        <v>1005</v>
      </c>
      <c r="B707" s="560" t="s">
        <v>1005</v>
      </c>
      <c r="C707" s="560">
        <v>3400</v>
      </c>
      <c r="D707" s="560">
        <v>6600</v>
      </c>
      <c r="E707" s="561">
        <f>SUMIFS('Accounting data'!$G$2:$G$37000,'Accounting data'!$J$2:$J$37000,"34*",'Accounting data'!$K$2:$K$37000,"66*")</f>
        <v>0</v>
      </c>
    </row>
    <row r="708" spans="1:5" x14ac:dyDescent="0.2">
      <c r="A708" s="560" t="s">
        <v>1006</v>
      </c>
      <c r="B708" s="560" t="s">
        <v>1005</v>
      </c>
      <c r="C708" s="560">
        <v>3400</v>
      </c>
      <c r="D708" s="560">
        <v>6600</v>
      </c>
      <c r="E708" s="561">
        <f>SUMIFS('Accounting data'!$G$2:$G$37000,'Accounting data'!$H$2:$H$37000,"9999*",'Accounting data'!$J$2:$J$37000,"34*",'Accounting data'!$K$2:$K$37000,"66*")</f>
        <v>0</v>
      </c>
    </row>
    <row r="709" spans="1:5" x14ac:dyDescent="0.2">
      <c r="A709" s="560" t="s">
        <v>1005</v>
      </c>
      <c r="B709" s="560" t="s">
        <v>1007</v>
      </c>
      <c r="C709" s="560">
        <v>3400</v>
      </c>
      <c r="D709" s="560">
        <v>6600</v>
      </c>
      <c r="E709" s="561">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2" t="s">
        <v>1006</v>
      </c>
      <c r="B710" s="560" t="s">
        <v>1007</v>
      </c>
      <c r="C710" s="560">
        <v>3400</v>
      </c>
      <c r="D710" s="560">
        <v>6600</v>
      </c>
      <c r="E710" s="561">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0"/>
      <c r="B711" s="560"/>
      <c r="C711" s="560"/>
      <c r="D711" s="560"/>
      <c r="E711" s="561"/>
    </row>
    <row r="712" spans="1:5" x14ac:dyDescent="0.2">
      <c r="A712" s="560"/>
      <c r="B712" s="560"/>
      <c r="C712" s="560"/>
      <c r="D712" s="560"/>
      <c r="E712" s="561"/>
    </row>
    <row r="713" spans="1:5" x14ac:dyDescent="0.2">
      <c r="A713" s="563" t="s">
        <v>1065</v>
      </c>
      <c r="B713" s="563"/>
      <c r="C713" s="563"/>
      <c r="D713" s="563"/>
      <c r="E713" s="565">
        <f>(E707-E708-E709)+(E710+E711+E712)</f>
        <v>0</v>
      </c>
    </row>
    <row r="714" spans="1:5" x14ac:dyDescent="0.2">
      <c r="A714" s="560" t="s">
        <v>1005</v>
      </c>
      <c r="B714" s="560" t="s">
        <v>1005</v>
      </c>
      <c r="C714" s="560">
        <v>4000</v>
      </c>
      <c r="D714" s="560">
        <v>6600</v>
      </c>
      <c r="E714" s="561">
        <f>SUMIFS('Accounting data'!$G$2:$G$37000,'Accounting data'!$J$2:$J$37000,"4*",'Accounting data'!$K$2:$K$37000,"66*")</f>
        <v>0</v>
      </c>
    </row>
    <row r="715" spans="1:5" x14ac:dyDescent="0.2">
      <c r="A715" s="560" t="s">
        <v>1006</v>
      </c>
      <c r="B715" s="560" t="s">
        <v>1005</v>
      </c>
      <c r="C715" s="560">
        <v>4000</v>
      </c>
      <c r="D715" s="560">
        <v>6600</v>
      </c>
      <c r="E715" s="561">
        <f>SUMIFS('Accounting data'!$G$2:$G$37000,'Accounting data'!$H$2:$H$37000,"9999*",'Accounting data'!$J$2:$J$37000,"4*",'Accounting data'!$K$2:$K$37000,"66*")</f>
        <v>0</v>
      </c>
    </row>
    <row r="716" spans="1:5" x14ac:dyDescent="0.2">
      <c r="A716" s="560" t="s">
        <v>1005</v>
      </c>
      <c r="B716" s="560" t="s">
        <v>1007</v>
      </c>
      <c r="C716" s="560">
        <v>4000</v>
      </c>
      <c r="D716" s="560">
        <v>6600</v>
      </c>
      <c r="E716" s="561">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2" t="s">
        <v>1006</v>
      </c>
      <c r="B717" s="560" t="s">
        <v>1007</v>
      </c>
      <c r="C717" s="560">
        <v>4000</v>
      </c>
      <c r="D717" s="560">
        <v>6600</v>
      </c>
      <c r="E717" s="561">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0"/>
      <c r="B718" s="560"/>
      <c r="C718" s="560"/>
      <c r="D718" s="560"/>
      <c r="E718" s="561"/>
    </row>
    <row r="719" spans="1:5" x14ac:dyDescent="0.2">
      <c r="A719" s="560"/>
      <c r="B719" s="560"/>
      <c r="C719" s="560"/>
      <c r="D719" s="560"/>
      <c r="E719" s="561"/>
    </row>
    <row r="720" spans="1:5" x14ac:dyDescent="0.2">
      <c r="A720" s="563" t="s">
        <v>1066</v>
      </c>
      <c r="B720" s="563"/>
      <c r="C720" s="563"/>
      <c r="D720" s="563"/>
      <c r="E720" s="565">
        <f>(E714-E715-E716)+(E717+E718+E719)</f>
        <v>0</v>
      </c>
    </row>
    <row r="721" spans="1:5" x14ac:dyDescent="0.2">
      <c r="A721" s="571" t="s">
        <v>1067</v>
      </c>
      <c r="B721" s="571"/>
      <c r="C721" s="571"/>
      <c r="D721" s="571"/>
      <c r="E721" s="572">
        <f>E636+E643+E650+E657+E664+E671+E678+E685+E692+E699+E706+E713</f>
        <v>472428</v>
      </c>
    </row>
    <row r="722" spans="1:5" x14ac:dyDescent="0.2">
      <c r="A722" s="560" t="s">
        <v>1021</v>
      </c>
      <c r="B722" s="560" t="s">
        <v>1005</v>
      </c>
      <c r="C722" s="560">
        <v>1000</v>
      </c>
      <c r="D722" s="560">
        <v>6600</v>
      </c>
      <c r="E722" s="561">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39009</v>
      </c>
    </row>
    <row r="723" spans="1:5" x14ac:dyDescent="0.2">
      <c r="A723" s="560" t="s">
        <v>1021</v>
      </c>
      <c r="B723" s="560" t="s">
        <v>1005</v>
      </c>
      <c r="C723" s="560">
        <v>2000</v>
      </c>
      <c r="D723" s="560">
        <v>6600</v>
      </c>
      <c r="E723" s="561">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28171</v>
      </c>
    </row>
    <row r="724" spans="1:5" x14ac:dyDescent="0.2">
      <c r="A724" s="560" t="s">
        <v>1021</v>
      </c>
      <c r="B724" s="560" t="s">
        <v>1005</v>
      </c>
      <c r="C724" s="560">
        <v>3000</v>
      </c>
      <c r="D724" s="560">
        <v>6600</v>
      </c>
      <c r="E724" s="561">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0" t="s">
        <v>1021</v>
      </c>
      <c r="B725" s="562">
        <v>700</v>
      </c>
      <c r="C725" s="560">
        <v>1000</v>
      </c>
      <c r="D725" s="560">
        <v>6600</v>
      </c>
      <c r="E725" s="561">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0" t="s">
        <v>1021</v>
      </c>
      <c r="B726" s="562">
        <v>800</v>
      </c>
      <c r="C726" s="560">
        <v>1000</v>
      </c>
      <c r="D726" s="560">
        <v>6600</v>
      </c>
      <c r="E726" s="561">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0" t="s">
        <v>1021</v>
      </c>
      <c r="B727" s="562">
        <v>900</v>
      </c>
      <c r="C727" s="560">
        <v>1000</v>
      </c>
      <c r="D727" s="560">
        <v>6600</v>
      </c>
      <c r="E727" s="561">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0" t="s">
        <v>1021</v>
      </c>
      <c r="B728" s="562">
        <v>700</v>
      </c>
      <c r="C728" s="560">
        <v>2000</v>
      </c>
      <c r="D728" s="560">
        <v>6600</v>
      </c>
      <c r="E728" s="561">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0" t="s">
        <v>1021</v>
      </c>
      <c r="B729" s="562">
        <v>800</v>
      </c>
      <c r="C729" s="560">
        <v>2000</v>
      </c>
      <c r="D729" s="560">
        <v>6600</v>
      </c>
      <c r="E729" s="561">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0" t="s">
        <v>1021</v>
      </c>
      <c r="B730" s="562">
        <v>900</v>
      </c>
      <c r="C730" s="560">
        <v>2000</v>
      </c>
      <c r="D730" s="560">
        <v>6600</v>
      </c>
      <c r="E730" s="561">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0" t="s">
        <v>1021</v>
      </c>
      <c r="B731" s="562">
        <v>700</v>
      </c>
      <c r="C731" s="560">
        <v>3000</v>
      </c>
      <c r="D731" s="560">
        <v>6600</v>
      </c>
      <c r="E731" s="561">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0" t="s">
        <v>1021</v>
      </c>
      <c r="B732" s="562">
        <v>800</v>
      </c>
      <c r="C732" s="560">
        <v>3000</v>
      </c>
      <c r="D732" s="560">
        <v>6600</v>
      </c>
      <c r="E732" s="561">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0" t="s">
        <v>1021</v>
      </c>
      <c r="B733" s="562">
        <v>900</v>
      </c>
      <c r="C733" s="560">
        <v>3000</v>
      </c>
      <c r="D733" s="560">
        <v>6600</v>
      </c>
      <c r="E733" s="561">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3" t="s">
        <v>1068</v>
      </c>
      <c r="B734" s="563"/>
      <c r="C734" s="563"/>
      <c r="D734" s="563"/>
      <c r="E734" s="565">
        <f>(E722+E723+E724)-(E725+E726+E727+E728+E729+E730+E731+E732+E733)</f>
        <v>67180</v>
      </c>
    </row>
    <row r="735" spans="1:5" x14ac:dyDescent="0.2">
      <c r="A735" s="560"/>
      <c r="B735" s="560"/>
      <c r="C735" s="560"/>
      <c r="D735" s="560"/>
      <c r="E735" s="561"/>
    </row>
    <row r="736" spans="1:5" x14ac:dyDescent="0.2">
      <c r="A736" s="560"/>
      <c r="B736" s="560"/>
      <c r="C736" s="560"/>
      <c r="D736" s="560"/>
      <c r="E736" s="561"/>
    </row>
    <row r="737" spans="1:5" x14ac:dyDescent="0.2">
      <c r="A737" s="560"/>
      <c r="B737" s="560"/>
      <c r="C737" s="560"/>
      <c r="D737" s="560"/>
      <c r="E737" s="561"/>
    </row>
    <row r="738" spans="1:5" x14ac:dyDescent="0.2">
      <c r="A738" s="562"/>
      <c r="B738" s="560"/>
      <c r="C738" s="560"/>
      <c r="D738" s="560"/>
      <c r="E738" s="561"/>
    </row>
    <row r="739" spans="1:5" x14ac:dyDescent="0.2">
      <c r="A739" s="560"/>
      <c r="B739" s="560"/>
      <c r="C739" s="560"/>
      <c r="D739" s="560"/>
      <c r="E739" s="561"/>
    </row>
    <row r="740" spans="1:5" x14ac:dyDescent="0.2">
      <c r="A740" s="560"/>
      <c r="B740" s="560"/>
      <c r="C740" s="560"/>
      <c r="D740" s="560"/>
      <c r="E740" s="561"/>
    </row>
    <row r="741" spans="1:5" x14ac:dyDescent="0.2">
      <c r="A741" s="560"/>
      <c r="B741" s="560"/>
      <c r="C741" s="560"/>
      <c r="D741" s="569"/>
      <c r="E741" s="561"/>
    </row>
    <row r="742" spans="1:5" x14ac:dyDescent="0.2">
      <c r="A742" s="560"/>
      <c r="B742" s="560"/>
      <c r="C742" s="560"/>
      <c r="D742" s="569"/>
      <c r="E742" s="561"/>
    </row>
    <row r="743" spans="1:5" x14ac:dyDescent="0.2">
      <c r="A743" s="560"/>
      <c r="B743" s="560"/>
      <c r="C743" s="560"/>
      <c r="D743" s="569"/>
      <c r="E743" s="561"/>
    </row>
    <row r="744" spans="1:5" x14ac:dyDescent="0.2">
      <c r="A744" s="562"/>
      <c r="B744" s="560"/>
      <c r="C744" s="560"/>
      <c r="D744" s="569"/>
      <c r="E744" s="561"/>
    </row>
    <row r="745" spans="1:5" x14ac:dyDescent="0.2">
      <c r="A745" s="560"/>
      <c r="B745" s="560"/>
      <c r="C745" s="560"/>
      <c r="D745" s="569"/>
      <c r="E745" s="561"/>
    </row>
    <row r="746" spans="1:5" x14ac:dyDescent="0.2">
      <c r="A746" s="560"/>
      <c r="B746" s="560"/>
      <c r="C746" s="560"/>
      <c r="D746" s="569"/>
      <c r="E746" s="561"/>
    </row>
    <row r="747" spans="1:5" x14ac:dyDescent="0.2">
      <c r="A747" s="563"/>
      <c r="B747" s="563"/>
      <c r="C747" s="563"/>
      <c r="D747" s="563"/>
      <c r="E747" s="565"/>
    </row>
    <row r="748" spans="1:5" x14ac:dyDescent="0.2">
      <c r="A748" s="560"/>
      <c r="B748" s="560"/>
      <c r="C748" s="560"/>
      <c r="D748" s="560"/>
      <c r="E748" s="561"/>
    </row>
    <row r="749" spans="1:5" x14ac:dyDescent="0.2">
      <c r="A749" s="560"/>
      <c r="B749" s="560"/>
      <c r="C749" s="560"/>
      <c r="D749" s="560"/>
      <c r="E749" s="561"/>
    </row>
    <row r="750" spans="1:5" x14ac:dyDescent="0.2">
      <c r="A750" s="560"/>
      <c r="B750" s="560"/>
      <c r="C750" s="560"/>
      <c r="D750" s="560"/>
      <c r="E750" s="561"/>
    </row>
    <row r="751" spans="1:5" x14ac:dyDescent="0.2">
      <c r="A751" s="562"/>
      <c r="B751" s="560"/>
      <c r="C751" s="560"/>
      <c r="D751" s="560"/>
      <c r="E751" s="561"/>
    </row>
    <row r="752" spans="1:5" x14ac:dyDescent="0.2">
      <c r="A752" s="560"/>
      <c r="B752" s="560"/>
      <c r="C752" s="560"/>
      <c r="D752" s="560"/>
      <c r="E752" s="561"/>
    </row>
    <row r="753" spans="1:5" x14ac:dyDescent="0.2">
      <c r="A753" s="560"/>
      <c r="B753" s="560"/>
      <c r="C753" s="560"/>
      <c r="D753" s="560"/>
      <c r="E753" s="561"/>
    </row>
    <row r="754" spans="1:5" x14ac:dyDescent="0.2">
      <c r="A754" s="560"/>
      <c r="B754" s="560"/>
      <c r="C754" s="560"/>
      <c r="D754" s="569"/>
      <c r="E754" s="561"/>
    </row>
    <row r="755" spans="1:5" x14ac:dyDescent="0.2">
      <c r="A755" s="560"/>
      <c r="B755" s="560"/>
      <c r="C755" s="560"/>
      <c r="D755" s="569"/>
      <c r="E755" s="561"/>
    </row>
    <row r="756" spans="1:5" x14ac:dyDescent="0.2">
      <c r="A756" s="560"/>
      <c r="B756" s="560"/>
      <c r="C756" s="560"/>
      <c r="D756" s="569"/>
      <c r="E756" s="561"/>
    </row>
    <row r="757" spans="1:5" x14ac:dyDescent="0.2">
      <c r="A757" s="562"/>
      <c r="B757" s="560"/>
      <c r="C757" s="560"/>
      <c r="D757" s="569"/>
      <c r="E757" s="561"/>
    </row>
    <row r="758" spans="1:5" x14ac:dyDescent="0.2">
      <c r="A758" s="560"/>
      <c r="B758" s="560"/>
      <c r="C758" s="560"/>
      <c r="D758" s="569"/>
      <c r="E758" s="561"/>
    </row>
    <row r="759" spans="1:5" x14ac:dyDescent="0.2">
      <c r="A759" s="560"/>
      <c r="B759" s="560"/>
      <c r="C759" s="560"/>
      <c r="D759" s="569"/>
      <c r="E759" s="561"/>
    </row>
    <row r="760" spans="1:5" x14ac:dyDescent="0.2">
      <c r="A760" s="563"/>
      <c r="B760" s="563"/>
      <c r="C760" s="563"/>
      <c r="D760" s="563"/>
      <c r="E760" s="565"/>
    </row>
    <row r="761" spans="1:5" x14ac:dyDescent="0.2">
      <c r="A761" s="560"/>
      <c r="B761" s="560"/>
      <c r="C761" s="560"/>
      <c r="D761" s="560"/>
      <c r="E761" s="561"/>
    </row>
    <row r="762" spans="1:5" x14ac:dyDescent="0.2">
      <c r="A762" s="560"/>
      <c r="B762" s="560"/>
      <c r="C762" s="560"/>
      <c r="D762" s="560"/>
      <c r="E762" s="561"/>
    </row>
    <row r="763" spans="1:5" x14ac:dyDescent="0.2">
      <c r="A763" s="560"/>
      <c r="B763" s="560"/>
      <c r="C763" s="560"/>
      <c r="D763" s="560"/>
      <c r="E763" s="561"/>
    </row>
    <row r="764" spans="1:5" x14ac:dyDescent="0.2">
      <c r="A764" s="562"/>
      <c r="B764" s="560"/>
      <c r="C764" s="560"/>
      <c r="D764" s="560"/>
      <c r="E764" s="561"/>
    </row>
    <row r="765" spans="1:5" x14ac:dyDescent="0.2">
      <c r="A765" s="560"/>
      <c r="B765" s="560"/>
      <c r="C765" s="560"/>
      <c r="D765" s="560"/>
      <c r="E765" s="561"/>
    </row>
    <row r="766" spans="1:5" x14ac:dyDescent="0.2">
      <c r="A766" s="560"/>
      <c r="B766" s="560"/>
      <c r="C766" s="560"/>
      <c r="D766" s="560"/>
      <c r="E766" s="561"/>
    </row>
    <row r="767" spans="1:5" x14ac:dyDescent="0.2">
      <c r="A767" s="560"/>
      <c r="B767" s="560"/>
      <c r="C767" s="560"/>
      <c r="D767" s="569"/>
      <c r="E767" s="561"/>
    </row>
    <row r="768" spans="1:5" x14ac:dyDescent="0.2">
      <c r="A768" s="560"/>
      <c r="B768" s="560"/>
      <c r="C768" s="560"/>
      <c r="D768" s="569"/>
      <c r="E768" s="561"/>
    </row>
    <row r="769" spans="1:5" x14ac:dyDescent="0.2">
      <c r="A769" s="560"/>
      <c r="B769" s="560"/>
      <c r="C769" s="560"/>
      <c r="D769" s="569"/>
      <c r="E769" s="561"/>
    </row>
    <row r="770" spans="1:5" x14ac:dyDescent="0.2">
      <c r="A770" s="562"/>
      <c r="B770" s="560"/>
      <c r="C770" s="560"/>
      <c r="D770" s="569"/>
      <c r="E770" s="561"/>
    </row>
    <row r="771" spans="1:5" x14ac:dyDescent="0.2">
      <c r="A771" s="560"/>
      <c r="B771" s="560"/>
      <c r="C771" s="560"/>
      <c r="D771" s="569"/>
      <c r="E771" s="561"/>
    </row>
    <row r="772" spans="1:5" x14ac:dyDescent="0.2">
      <c r="A772" s="560"/>
      <c r="B772" s="560"/>
      <c r="C772" s="560"/>
      <c r="D772" s="569"/>
      <c r="E772" s="561"/>
    </row>
    <row r="773" spans="1:5" x14ac:dyDescent="0.2">
      <c r="A773" s="563"/>
      <c r="B773" s="563"/>
      <c r="C773" s="563"/>
      <c r="D773" s="563"/>
      <c r="E773" s="565"/>
    </row>
    <row r="774" spans="1:5" x14ac:dyDescent="0.2">
      <c r="A774" s="560"/>
      <c r="B774" s="560"/>
      <c r="C774" s="560"/>
      <c r="D774" s="560"/>
      <c r="E774" s="561"/>
    </row>
    <row r="775" spans="1:5" x14ac:dyDescent="0.2">
      <c r="A775" s="560"/>
      <c r="B775" s="560"/>
      <c r="C775" s="560"/>
      <c r="D775" s="560"/>
      <c r="E775" s="561"/>
    </row>
    <row r="776" spans="1:5" x14ac:dyDescent="0.2">
      <c r="A776" s="560"/>
      <c r="B776" s="560"/>
      <c r="C776" s="560"/>
      <c r="D776" s="560"/>
      <c r="E776" s="561"/>
    </row>
    <row r="777" spans="1:5" x14ac:dyDescent="0.2">
      <c r="A777" s="562"/>
      <c r="B777" s="560"/>
      <c r="C777" s="560"/>
      <c r="D777" s="560"/>
      <c r="E777" s="561"/>
    </row>
    <row r="778" spans="1:5" x14ac:dyDescent="0.2">
      <c r="A778" s="560"/>
      <c r="B778" s="560"/>
      <c r="C778" s="560"/>
      <c r="D778" s="560"/>
      <c r="E778" s="561"/>
    </row>
    <row r="779" spans="1:5" x14ac:dyDescent="0.2">
      <c r="A779" s="560"/>
      <c r="B779" s="560"/>
      <c r="C779" s="560"/>
      <c r="D779" s="560"/>
      <c r="E779" s="561"/>
    </row>
    <row r="780" spans="1:5" x14ac:dyDescent="0.2">
      <c r="A780" s="560"/>
      <c r="B780" s="560"/>
      <c r="C780" s="560"/>
      <c r="D780" s="569"/>
      <c r="E780" s="561"/>
    </row>
    <row r="781" spans="1:5" x14ac:dyDescent="0.2">
      <c r="A781" s="560"/>
      <c r="B781" s="560"/>
      <c r="C781" s="560"/>
      <c r="D781" s="569"/>
      <c r="E781" s="561"/>
    </row>
    <row r="782" spans="1:5" x14ac:dyDescent="0.2">
      <c r="A782" s="560"/>
      <c r="B782" s="560"/>
      <c r="C782" s="560"/>
      <c r="D782" s="569"/>
      <c r="E782" s="561"/>
    </row>
    <row r="783" spans="1:5" x14ac:dyDescent="0.2">
      <c r="A783" s="562"/>
      <c r="B783" s="560"/>
      <c r="C783" s="560"/>
      <c r="D783" s="569"/>
      <c r="E783" s="561"/>
    </row>
    <row r="784" spans="1:5" x14ac:dyDescent="0.2">
      <c r="A784" s="560"/>
      <c r="B784" s="560"/>
      <c r="C784" s="560"/>
      <c r="D784" s="569"/>
      <c r="E784" s="561"/>
    </row>
    <row r="785" spans="1:5" x14ac:dyDescent="0.2">
      <c r="A785" s="560"/>
      <c r="B785" s="560"/>
      <c r="C785" s="560"/>
      <c r="D785" s="569"/>
      <c r="E785" s="561"/>
    </row>
    <row r="786" spans="1:5" x14ac:dyDescent="0.2">
      <c r="A786" s="563"/>
      <c r="B786" s="563"/>
      <c r="C786" s="563"/>
      <c r="D786" s="563"/>
      <c r="E786" s="565"/>
    </row>
    <row r="787" spans="1:5" x14ac:dyDescent="0.2">
      <c r="A787" s="560"/>
      <c r="B787" s="560"/>
      <c r="C787" s="560"/>
      <c r="D787" s="560"/>
      <c r="E787" s="561"/>
    </row>
    <row r="788" spans="1:5" x14ac:dyDescent="0.2">
      <c r="A788" s="560"/>
      <c r="B788" s="560"/>
      <c r="C788" s="560"/>
      <c r="D788" s="560"/>
      <c r="E788" s="561"/>
    </row>
    <row r="789" spans="1:5" x14ac:dyDescent="0.2">
      <c r="A789" s="560"/>
      <c r="B789" s="560"/>
      <c r="C789" s="560"/>
      <c r="D789" s="560"/>
      <c r="E789" s="561"/>
    </row>
    <row r="790" spans="1:5" x14ac:dyDescent="0.2">
      <c r="A790" s="562"/>
      <c r="B790" s="560"/>
      <c r="C790" s="560"/>
      <c r="D790" s="560"/>
      <c r="E790" s="561"/>
    </row>
    <row r="791" spans="1:5" x14ac:dyDescent="0.2">
      <c r="A791" s="560"/>
      <c r="B791" s="560"/>
      <c r="C791" s="560"/>
      <c r="D791" s="560"/>
      <c r="E791" s="561"/>
    </row>
    <row r="792" spans="1:5" x14ac:dyDescent="0.2">
      <c r="A792" s="560"/>
      <c r="B792" s="560"/>
      <c r="C792" s="560"/>
      <c r="D792" s="560"/>
      <c r="E792" s="561"/>
    </row>
    <row r="793" spans="1:5" x14ac:dyDescent="0.2">
      <c r="A793" s="560"/>
      <c r="B793" s="560"/>
      <c r="C793" s="560"/>
      <c r="D793" s="569"/>
      <c r="E793" s="561"/>
    </row>
    <row r="794" spans="1:5" x14ac:dyDescent="0.2">
      <c r="A794" s="560"/>
      <c r="B794" s="560"/>
      <c r="C794" s="560"/>
      <c r="D794" s="569"/>
      <c r="E794" s="561"/>
    </row>
    <row r="795" spans="1:5" x14ac:dyDescent="0.2">
      <c r="A795" s="560"/>
      <c r="B795" s="560"/>
      <c r="C795" s="560"/>
      <c r="D795" s="569"/>
      <c r="E795" s="561"/>
    </row>
    <row r="796" spans="1:5" x14ac:dyDescent="0.2">
      <c r="A796" s="562"/>
      <c r="B796" s="560"/>
      <c r="C796" s="560"/>
      <c r="D796" s="569"/>
      <c r="E796" s="561"/>
    </row>
    <row r="797" spans="1:5" x14ac:dyDescent="0.2">
      <c r="A797" s="560"/>
      <c r="B797" s="560"/>
      <c r="C797" s="560"/>
      <c r="D797" s="569"/>
      <c r="E797" s="561"/>
    </row>
    <row r="798" spans="1:5" x14ac:dyDescent="0.2">
      <c r="A798" s="560"/>
      <c r="B798" s="560"/>
      <c r="C798" s="560"/>
      <c r="D798" s="569"/>
      <c r="E798" s="561"/>
    </row>
    <row r="799" spans="1:5" x14ac:dyDescent="0.2">
      <c r="A799" s="563"/>
      <c r="B799" s="563"/>
      <c r="C799" s="563"/>
      <c r="D799" s="563"/>
      <c r="E799" s="565"/>
    </row>
    <row r="800" spans="1:5" x14ac:dyDescent="0.2">
      <c r="A800" s="560"/>
      <c r="B800" s="560"/>
      <c r="C800" s="560"/>
      <c r="D800" s="560"/>
      <c r="E800" s="561"/>
    </row>
    <row r="801" spans="1:5" x14ac:dyDescent="0.2">
      <c r="A801" s="560"/>
      <c r="B801" s="560"/>
      <c r="C801" s="560"/>
      <c r="D801" s="560"/>
      <c r="E801" s="561"/>
    </row>
    <row r="802" spans="1:5" x14ac:dyDescent="0.2">
      <c r="A802" s="560"/>
      <c r="B802" s="560"/>
      <c r="C802" s="560"/>
      <c r="D802" s="560"/>
      <c r="E802" s="561"/>
    </row>
    <row r="803" spans="1:5" x14ac:dyDescent="0.2">
      <c r="A803" s="562"/>
      <c r="B803" s="560"/>
      <c r="C803" s="560"/>
      <c r="D803" s="560"/>
      <c r="E803" s="561"/>
    </row>
    <row r="804" spans="1:5" x14ac:dyDescent="0.2">
      <c r="A804" s="560"/>
      <c r="B804" s="560"/>
      <c r="C804" s="560"/>
      <c r="D804" s="560"/>
      <c r="E804" s="561"/>
    </row>
    <row r="805" spans="1:5" x14ac:dyDescent="0.2">
      <c r="A805" s="560"/>
      <c r="B805" s="560"/>
      <c r="C805" s="560"/>
      <c r="D805" s="560"/>
      <c r="E805" s="561"/>
    </row>
    <row r="806" spans="1:5" x14ac:dyDescent="0.2">
      <c r="A806" s="560"/>
      <c r="B806" s="560"/>
      <c r="C806" s="560"/>
      <c r="D806" s="569"/>
      <c r="E806" s="561"/>
    </row>
    <row r="807" spans="1:5" x14ac:dyDescent="0.2">
      <c r="A807" s="560"/>
      <c r="B807" s="560"/>
      <c r="C807" s="560"/>
      <c r="D807" s="569"/>
      <c r="E807" s="561"/>
    </row>
    <row r="808" spans="1:5" x14ac:dyDescent="0.2">
      <c r="A808" s="560"/>
      <c r="B808" s="560"/>
      <c r="C808" s="560"/>
      <c r="D808" s="569"/>
      <c r="E808" s="561"/>
    </row>
    <row r="809" spans="1:5" x14ac:dyDescent="0.2">
      <c r="A809" s="562"/>
      <c r="B809" s="560"/>
      <c r="C809" s="560"/>
      <c r="D809" s="569"/>
      <c r="E809" s="561"/>
    </row>
    <row r="810" spans="1:5" x14ac:dyDescent="0.2">
      <c r="A810" s="560"/>
      <c r="B810" s="560"/>
      <c r="C810" s="560"/>
      <c r="D810" s="569"/>
      <c r="E810" s="561"/>
    </row>
    <row r="811" spans="1:5" x14ac:dyDescent="0.2">
      <c r="A811" s="560"/>
      <c r="B811" s="560"/>
      <c r="C811" s="560"/>
      <c r="D811" s="569"/>
      <c r="E811" s="561"/>
    </row>
    <row r="812" spans="1:5" x14ac:dyDescent="0.2">
      <c r="A812" s="563"/>
      <c r="B812" s="563"/>
      <c r="C812" s="563"/>
      <c r="D812" s="563"/>
      <c r="E812" s="565"/>
    </row>
    <row r="813" spans="1:5" x14ac:dyDescent="0.2">
      <c r="A813" s="560"/>
      <c r="B813" s="560"/>
      <c r="C813" s="560"/>
      <c r="D813" s="560"/>
      <c r="E813" s="561"/>
    </row>
    <row r="814" spans="1:5" x14ac:dyDescent="0.2">
      <c r="A814" s="560"/>
      <c r="B814" s="560"/>
      <c r="C814" s="560"/>
      <c r="D814" s="560"/>
      <c r="E814" s="561"/>
    </row>
    <row r="815" spans="1:5" x14ac:dyDescent="0.2">
      <c r="A815" s="560"/>
      <c r="B815" s="560"/>
      <c r="C815" s="560"/>
      <c r="D815" s="560"/>
      <c r="E815" s="561"/>
    </row>
    <row r="816" spans="1:5" x14ac:dyDescent="0.2">
      <c r="A816" s="562"/>
      <c r="B816" s="560"/>
      <c r="C816" s="560"/>
      <c r="D816" s="560"/>
      <c r="E816" s="561"/>
    </row>
    <row r="817" spans="1:5" x14ac:dyDescent="0.2">
      <c r="A817" s="560"/>
      <c r="B817" s="560"/>
      <c r="C817" s="560"/>
      <c r="D817" s="560"/>
      <c r="E817" s="561"/>
    </row>
    <row r="818" spans="1:5" x14ac:dyDescent="0.2">
      <c r="A818" s="560"/>
      <c r="B818" s="560"/>
      <c r="C818" s="560"/>
      <c r="D818" s="560"/>
      <c r="E818" s="561"/>
    </row>
    <row r="819" spans="1:5" x14ac:dyDescent="0.2">
      <c r="A819" s="560"/>
      <c r="B819" s="560"/>
      <c r="C819" s="560"/>
      <c r="D819" s="569"/>
      <c r="E819" s="561"/>
    </row>
    <row r="820" spans="1:5" x14ac:dyDescent="0.2">
      <c r="A820" s="560"/>
      <c r="B820" s="560"/>
      <c r="C820" s="560"/>
      <c r="D820" s="569"/>
      <c r="E820" s="561"/>
    </row>
    <row r="821" spans="1:5" x14ac:dyDescent="0.2">
      <c r="A821" s="560"/>
      <c r="B821" s="560"/>
      <c r="C821" s="560"/>
      <c r="D821" s="569"/>
      <c r="E821" s="561"/>
    </row>
    <row r="822" spans="1:5" x14ac:dyDescent="0.2">
      <c r="A822" s="562"/>
      <c r="B822" s="560"/>
      <c r="C822" s="560"/>
      <c r="D822" s="569"/>
      <c r="E822" s="561"/>
    </row>
    <row r="823" spans="1:5" x14ac:dyDescent="0.2">
      <c r="A823" s="560"/>
      <c r="B823" s="560"/>
      <c r="C823" s="560"/>
      <c r="D823" s="569"/>
      <c r="E823" s="561"/>
    </row>
    <row r="824" spans="1:5" x14ac:dyDescent="0.2">
      <c r="A824" s="560"/>
      <c r="B824" s="560"/>
      <c r="C824" s="560"/>
      <c r="D824" s="569"/>
      <c r="E824" s="561"/>
    </row>
    <row r="825" spans="1:5" x14ac:dyDescent="0.2">
      <c r="A825" s="563"/>
      <c r="B825" s="563"/>
      <c r="C825" s="563"/>
      <c r="D825" s="563"/>
      <c r="E825" s="565"/>
    </row>
    <row r="826" spans="1:5" x14ac:dyDescent="0.2">
      <c r="A826" s="560"/>
      <c r="B826" s="560"/>
      <c r="C826" s="560"/>
      <c r="D826" s="560"/>
      <c r="E826" s="561"/>
    </row>
    <row r="827" spans="1:5" x14ac:dyDescent="0.2">
      <c r="A827" s="560"/>
      <c r="B827" s="560"/>
      <c r="C827" s="560"/>
      <c r="D827" s="560"/>
      <c r="E827" s="561"/>
    </row>
    <row r="828" spans="1:5" x14ac:dyDescent="0.2">
      <c r="A828" s="560"/>
      <c r="B828" s="560"/>
      <c r="C828" s="560"/>
      <c r="D828" s="560"/>
      <c r="E828" s="561"/>
    </row>
    <row r="829" spans="1:5" x14ac:dyDescent="0.2">
      <c r="A829" s="562"/>
      <c r="B829" s="560"/>
      <c r="C829" s="560"/>
      <c r="D829" s="560"/>
      <c r="E829" s="561"/>
    </row>
    <row r="830" spans="1:5" x14ac:dyDescent="0.2">
      <c r="A830" s="560"/>
      <c r="B830" s="560"/>
      <c r="C830" s="560"/>
      <c r="D830" s="560"/>
      <c r="E830" s="561"/>
    </row>
    <row r="831" spans="1:5" x14ac:dyDescent="0.2">
      <c r="A831" s="560"/>
      <c r="B831" s="560"/>
      <c r="C831" s="560"/>
      <c r="D831" s="560"/>
      <c r="E831" s="561"/>
    </row>
    <row r="832" spans="1:5" x14ac:dyDescent="0.2">
      <c r="A832" s="560"/>
      <c r="B832" s="560"/>
      <c r="C832" s="560"/>
      <c r="D832" s="569"/>
      <c r="E832" s="561"/>
    </row>
    <row r="833" spans="1:5" x14ac:dyDescent="0.2">
      <c r="A833" s="560"/>
      <c r="B833" s="560"/>
      <c r="C833" s="560"/>
      <c r="D833" s="569"/>
      <c r="E833" s="561"/>
    </row>
    <row r="834" spans="1:5" x14ac:dyDescent="0.2">
      <c r="A834" s="560"/>
      <c r="B834" s="560"/>
      <c r="C834" s="560"/>
      <c r="D834" s="569"/>
      <c r="E834" s="561"/>
    </row>
    <row r="835" spans="1:5" x14ac:dyDescent="0.2">
      <c r="A835" s="562"/>
      <c r="B835" s="560"/>
      <c r="C835" s="560"/>
      <c r="D835" s="569"/>
      <c r="E835" s="561"/>
    </row>
    <row r="836" spans="1:5" x14ac:dyDescent="0.2">
      <c r="A836" s="560"/>
      <c r="B836" s="560"/>
      <c r="C836" s="560"/>
      <c r="D836" s="569"/>
      <c r="E836" s="561"/>
    </row>
    <row r="837" spans="1:5" x14ac:dyDescent="0.2">
      <c r="A837" s="560"/>
      <c r="B837" s="560"/>
      <c r="C837" s="560"/>
      <c r="D837" s="569"/>
      <c r="E837" s="561"/>
    </row>
    <row r="838" spans="1:5" x14ac:dyDescent="0.2">
      <c r="A838" s="563"/>
      <c r="B838" s="563"/>
      <c r="C838" s="563"/>
      <c r="D838" s="563"/>
      <c r="E838" s="565"/>
    </row>
    <row r="839" spans="1:5" x14ac:dyDescent="0.2">
      <c r="A839" s="560"/>
      <c r="B839" s="560"/>
      <c r="C839" s="560"/>
      <c r="D839" s="560"/>
      <c r="E839" s="561"/>
    </row>
    <row r="840" spans="1:5" x14ac:dyDescent="0.2">
      <c r="A840" s="560"/>
      <c r="B840" s="560"/>
      <c r="C840" s="560"/>
      <c r="D840" s="560"/>
      <c r="E840" s="561"/>
    </row>
    <row r="841" spans="1:5" x14ac:dyDescent="0.2">
      <c r="A841" s="560"/>
      <c r="B841" s="560"/>
      <c r="C841" s="560"/>
      <c r="D841" s="560"/>
      <c r="E841" s="561"/>
    </row>
    <row r="842" spans="1:5" x14ac:dyDescent="0.2">
      <c r="A842" s="562"/>
      <c r="B842" s="560"/>
      <c r="C842" s="560"/>
      <c r="D842" s="560"/>
      <c r="E842" s="561"/>
    </row>
    <row r="843" spans="1:5" x14ac:dyDescent="0.2">
      <c r="A843" s="560"/>
      <c r="B843" s="560"/>
      <c r="C843" s="560"/>
      <c r="D843" s="560"/>
      <c r="E843" s="561"/>
    </row>
    <row r="844" spans="1:5" x14ac:dyDescent="0.2">
      <c r="A844" s="560"/>
      <c r="B844" s="560"/>
      <c r="C844" s="560"/>
      <c r="D844" s="560"/>
      <c r="E844" s="561"/>
    </row>
    <row r="845" spans="1:5" x14ac:dyDescent="0.2">
      <c r="A845" s="560"/>
      <c r="B845" s="560"/>
      <c r="C845" s="560"/>
      <c r="D845" s="569"/>
      <c r="E845" s="561"/>
    </row>
    <row r="846" spans="1:5" x14ac:dyDescent="0.2">
      <c r="A846" s="560"/>
      <c r="B846" s="560"/>
      <c r="C846" s="560"/>
      <c r="D846" s="569"/>
      <c r="E846" s="561"/>
    </row>
    <row r="847" spans="1:5" x14ac:dyDescent="0.2">
      <c r="A847" s="560"/>
      <c r="B847" s="560"/>
      <c r="C847" s="560"/>
      <c r="D847" s="569"/>
      <c r="E847" s="561"/>
    </row>
    <row r="848" spans="1:5" x14ac:dyDescent="0.2">
      <c r="A848" s="562"/>
      <c r="B848" s="560"/>
      <c r="C848" s="560"/>
      <c r="D848" s="569"/>
      <c r="E848" s="561"/>
    </row>
    <row r="849" spans="1:5" x14ac:dyDescent="0.2">
      <c r="A849" s="560"/>
      <c r="B849" s="560"/>
      <c r="C849" s="560"/>
      <c r="D849" s="569"/>
      <c r="E849" s="561"/>
    </row>
    <row r="850" spans="1:5" x14ac:dyDescent="0.2">
      <c r="A850" s="560"/>
      <c r="B850" s="560"/>
      <c r="C850" s="560"/>
      <c r="D850" s="569"/>
      <c r="E850" s="561"/>
    </row>
    <row r="851" spans="1:5" x14ac:dyDescent="0.2">
      <c r="A851" s="563"/>
      <c r="B851" s="563"/>
      <c r="C851" s="563"/>
      <c r="D851" s="563"/>
      <c r="E851" s="565"/>
    </row>
    <row r="852" spans="1:5" x14ac:dyDescent="0.2">
      <c r="A852" s="560"/>
      <c r="B852" s="560"/>
      <c r="C852" s="560"/>
      <c r="D852" s="560"/>
      <c r="E852" s="561"/>
    </row>
    <row r="853" spans="1:5" x14ac:dyDescent="0.2">
      <c r="A853" s="560"/>
      <c r="B853" s="560"/>
      <c r="C853" s="560"/>
      <c r="D853" s="560"/>
      <c r="E853" s="561"/>
    </row>
    <row r="854" spans="1:5" x14ac:dyDescent="0.2">
      <c r="A854" s="560"/>
      <c r="B854" s="560"/>
      <c r="C854" s="560"/>
      <c r="D854" s="560"/>
      <c r="E854" s="561"/>
    </row>
    <row r="855" spans="1:5" x14ac:dyDescent="0.2">
      <c r="A855" s="562"/>
      <c r="B855" s="560"/>
      <c r="C855" s="560"/>
      <c r="D855" s="560"/>
      <c r="E855" s="561"/>
    </row>
    <row r="856" spans="1:5" x14ac:dyDescent="0.2">
      <c r="A856" s="560"/>
      <c r="B856" s="560"/>
      <c r="C856" s="560"/>
      <c r="D856" s="560"/>
      <c r="E856" s="561"/>
    </row>
    <row r="857" spans="1:5" x14ac:dyDescent="0.2">
      <c r="A857" s="560"/>
      <c r="B857" s="560"/>
      <c r="C857" s="560"/>
      <c r="D857" s="560"/>
      <c r="E857" s="561"/>
    </row>
    <row r="858" spans="1:5" x14ac:dyDescent="0.2">
      <c r="A858" s="560"/>
      <c r="B858" s="560"/>
      <c r="C858" s="560"/>
      <c r="D858" s="569"/>
      <c r="E858" s="561"/>
    </row>
    <row r="859" spans="1:5" x14ac:dyDescent="0.2">
      <c r="A859" s="560"/>
      <c r="B859" s="560"/>
      <c r="C859" s="560"/>
      <c r="D859" s="569"/>
      <c r="E859" s="561"/>
    </row>
    <row r="860" spans="1:5" x14ac:dyDescent="0.2">
      <c r="A860" s="560"/>
      <c r="B860" s="560"/>
      <c r="C860" s="560"/>
      <c r="D860" s="569"/>
      <c r="E860" s="561"/>
    </row>
    <row r="861" spans="1:5" x14ac:dyDescent="0.2">
      <c r="A861" s="562"/>
      <c r="B861" s="560"/>
      <c r="C861" s="560"/>
      <c r="D861" s="569"/>
      <c r="E861" s="561"/>
    </row>
    <row r="862" spans="1:5" x14ac:dyDescent="0.2">
      <c r="A862" s="560"/>
      <c r="B862" s="560"/>
      <c r="C862" s="560"/>
      <c r="D862" s="569"/>
      <c r="E862" s="561"/>
    </row>
    <row r="863" spans="1:5" x14ac:dyDescent="0.2">
      <c r="A863" s="560"/>
      <c r="B863" s="560"/>
      <c r="C863" s="560"/>
      <c r="D863" s="569"/>
      <c r="E863" s="561"/>
    </row>
    <row r="864" spans="1:5" x14ac:dyDescent="0.2">
      <c r="A864" s="563"/>
      <c r="B864" s="563"/>
      <c r="C864" s="563"/>
      <c r="D864" s="563"/>
      <c r="E864" s="565"/>
    </row>
    <row r="865" spans="1:5" x14ac:dyDescent="0.2">
      <c r="A865" s="560"/>
      <c r="B865" s="560"/>
      <c r="C865" s="560"/>
      <c r="D865" s="560"/>
      <c r="E865" s="561"/>
    </row>
    <row r="866" spans="1:5" x14ac:dyDescent="0.2">
      <c r="A866" s="560"/>
      <c r="B866" s="560"/>
      <c r="C866" s="560"/>
      <c r="D866" s="560"/>
      <c r="E866" s="561"/>
    </row>
    <row r="867" spans="1:5" x14ac:dyDescent="0.2">
      <c r="A867" s="560"/>
      <c r="B867" s="560"/>
      <c r="C867" s="560"/>
      <c r="D867" s="560"/>
      <c r="E867" s="561"/>
    </row>
    <row r="868" spans="1:5" x14ac:dyDescent="0.2">
      <c r="A868" s="562"/>
      <c r="B868" s="560"/>
      <c r="C868" s="560"/>
      <c r="D868" s="560"/>
      <c r="E868" s="561"/>
    </row>
    <row r="869" spans="1:5" x14ac:dyDescent="0.2">
      <c r="A869" s="560"/>
      <c r="B869" s="560"/>
      <c r="C869" s="560"/>
      <c r="D869" s="560"/>
      <c r="E869" s="561"/>
    </row>
    <row r="870" spans="1:5" x14ac:dyDescent="0.2">
      <c r="A870" s="560"/>
      <c r="B870" s="560"/>
      <c r="C870" s="560"/>
      <c r="D870" s="560"/>
      <c r="E870" s="561"/>
    </row>
    <row r="871" spans="1:5" x14ac:dyDescent="0.2">
      <c r="A871" s="560"/>
      <c r="B871" s="560"/>
      <c r="C871" s="560"/>
      <c r="D871" s="569"/>
      <c r="E871" s="561"/>
    </row>
    <row r="872" spans="1:5" x14ac:dyDescent="0.2">
      <c r="A872" s="560"/>
      <c r="B872" s="560"/>
      <c r="C872" s="560"/>
      <c r="D872" s="569"/>
      <c r="E872" s="561"/>
    </row>
    <row r="873" spans="1:5" x14ac:dyDescent="0.2">
      <c r="A873" s="560"/>
      <c r="B873" s="560"/>
      <c r="C873" s="560"/>
      <c r="D873" s="569"/>
      <c r="E873" s="561"/>
    </row>
    <row r="874" spans="1:5" x14ac:dyDescent="0.2">
      <c r="A874" s="562"/>
      <c r="B874" s="560"/>
      <c r="C874" s="560"/>
      <c r="D874" s="569"/>
      <c r="E874" s="561"/>
    </row>
    <row r="875" spans="1:5" x14ac:dyDescent="0.2">
      <c r="A875" s="560"/>
      <c r="B875" s="560"/>
      <c r="C875" s="560"/>
      <c r="D875" s="569"/>
      <c r="E875" s="561"/>
    </row>
    <row r="876" spans="1:5" x14ac:dyDescent="0.2">
      <c r="A876" s="560"/>
      <c r="B876" s="560"/>
      <c r="C876" s="560"/>
      <c r="D876" s="569"/>
      <c r="E876" s="561"/>
    </row>
    <row r="877" spans="1:5" x14ac:dyDescent="0.2">
      <c r="A877" s="563"/>
      <c r="B877" s="563"/>
      <c r="C877" s="563"/>
      <c r="D877" s="563"/>
      <c r="E877" s="565"/>
    </row>
    <row r="878" spans="1:5" x14ac:dyDescent="0.2">
      <c r="A878" s="560"/>
      <c r="B878" s="560"/>
      <c r="C878" s="560"/>
      <c r="D878" s="560"/>
      <c r="E878" s="561"/>
    </row>
    <row r="879" spans="1:5" x14ac:dyDescent="0.2">
      <c r="A879" s="560"/>
      <c r="B879" s="560"/>
      <c r="C879" s="560"/>
      <c r="D879" s="560"/>
      <c r="E879" s="561"/>
    </row>
    <row r="880" spans="1:5" x14ac:dyDescent="0.2">
      <c r="A880" s="560"/>
      <c r="B880" s="560"/>
      <c r="C880" s="560"/>
      <c r="D880" s="560"/>
      <c r="E880" s="561"/>
    </row>
    <row r="881" spans="1:5" x14ac:dyDescent="0.2">
      <c r="A881" s="562"/>
      <c r="B881" s="560"/>
      <c r="C881" s="560"/>
      <c r="D881" s="560"/>
      <c r="E881" s="561"/>
    </row>
    <row r="882" spans="1:5" x14ac:dyDescent="0.2">
      <c r="A882" s="560"/>
      <c r="B882" s="560"/>
      <c r="C882" s="560"/>
      <c r="D882" s="560"/>
      <c r="E882" s="561"/>
    </row>
    <row r="883" spans="1:5" x14ac:dyDescent="0.2">
      <c r="A883" s="560"/>
      <c r="B883" s="560"/>
      <c r="C883" s="560"/>
      <c r="D883" s="560"/>
      <c r="E883" s="561"/>
    </row>
    <row r="884" spans="1:5" x14ac:dyDescent="0.2">
      <c r="A884" s="560"/>
      <c r="B884" s="560"/>
      <c r="C884" s="560"/>
      <c r="D884" s="569"/>
      <c r="E884" s="561"/>
    </row>
    <row r="885" spans="1:5" x14ac:dyDescent="0.2">
      <c r="A885" s="560"/>
      <c r="B885" s="560"/>
      <c r="C885" s="560"/>
      <c r="D885" s="569"/>
      <c r="E885" s="561"/>
    </row>
    <row r="886" spans="1:5" x14ac:dyDescent="0.2">
      <c r="A886" s="560"/>
      <c r="B886" s="560"/>
      <c r="C886" s="560"/>
      <c r="D886" s="569"/>
      <c r="E886" s="561"/>
    </row>
    <row r="887" spans="1:5" x14ac:dyDescent="0.2">
      <c r="A887" s="562"/>
      <c r="B887" s="560"/>
      <c r="C887" s="560"/>
      <c r="D887" s="569"/>
      <c r="E887" s="561"/>
    </row>
    <row r="888" spans="1:5" x14ac:dyDescent="0.2">
      <c r="A888" s="560"/>
      <c r="B888" s="560"/>
      <c r="C888" s="560"/>
      <c r="D888" s="569"/>
      <c r="E888" s="561"/>
    </row>
    <row r="889" spans="1:5" x14ac:dyDescent="0.2">
      <c r="A889" s="560"/>
      <c r="B889" s="560"/>
      <c r="C889" s="560"/>
      <c r="D889" s="569"/>
      <c r="E889" s="561"/>
    </row>
    <row r="890" spans="1:5" x14ac:dyDescent="0.2">
      <c r="A890" s="563"/>
      <c r="B890" s="563"/>
      <c r="C890" s="563"/>
      <c r="D890" s="563"/>
      <c r="E890" s="565"/>
    </row>
    <row r="891" spans="1:5" x14ac:dyDescent="0.2">
      <c r="A891" s="560"/>
      <c r="B891" s="560"/>
      <c r="C891" s="560"/>
      <c r="D891" s="560"/>
      <c r="E891" s="561"/>
    </row>
    <row r="892" spans="1:5" x14ac:dyDescent="0.2">
      <c r="A892" s="560"/>
      <c r="B892" s="560"/>
      <c r="C892" s="560"/>
      <c r="D892" s="560"/>
      <c r="E892" s="561"/>
    </row>
    <row r="893" spans="1:5" x14ac:dyDescent="0.2">
      <c r="A893" s="560"/>
      <c r="B893" s="560"/>
      <c r="C893" s="560"/>
      <c r="D893" s="560"/>
      <c r="E893" s="561"/>
    </row>
    <row r="894" spans="1:5" x14ac:dyDescent="0.2">
      <c r="A894" s="562"/>
      <c r="B894" s="560"/>
      <c r="C894" s="560"/>
      <c r="D894" s="560"/>
      <c r="E894" s="561"/>
    </row>
    <row r="895" spans="1:5" x14ac:dyDescent="0.2">
      <c r="A895" s="560"/>
      <c r="B895" s="560"/>
      <c r="C895" s="560"/>
      <c r="D895" s="560"/>
      <c r="E895" s="561"/>
    </row>
    <row r="896" spans="1:5" x14ac:dyDescent="0.2">
      <c r="A896" s="560"/>
      <c r="B896" s="560"/>
      <c r="C896" s="560"/>
      <c r="D896" s="560"/>
      <c r="E896" s="561"/>
    </row>
    <row r="897" spans="1:5" x14ac:dyDescent="0.2">
      <c r="A897" s="560"/>
      <c r="B897" s="560"/>
      <c r="C897" s="560"/>
      <c r="D897" s="569"/>
      <c r="E897" s="561"/>
    </row>
    <row r="898" spans="1:5" x14ac:dyDescent="0.2">
      <c r="A898" s="560"/>
      <c r="B898" s="560"/>
      <c r="C898" s="560"/>
      <c r="D898" s="569"/>
      <c r="E898" s="561"/>
    </row>
    <row r="899" spans="1:5" x14ac:dyDescent="0.2">
      <c r="A899" s="560"/>
      <c r="B899" s="560"/>
      <c r="C899" s="560"/>
      <c r="D899" s="569"/>
      <c r="E899" s="561"/>
    </row>
    <row r="900" spans="1:5" x14ac:dyDescent="0.2">
      <c r="A900" s="562"/>
      <c r="B900" s="560"/>
      <c r="C900" s="560"/>
      <c r="D900" s="569"/>
      <c r="E900" s="561"/>
    </row>
    <row r="901" spans="1:5" x14ac:dyDescent="0.2">
      <c r="A901" s="560"/>
      <c r="B901" s="560"/>
      <c r="C901" s="560"/>
      <c r="D901" s="569"/>
      <c r="E901" s="561"/>
    </row>
    <row r="902" spans="1:5" x14ac:dyDescent="0.2">
      <c r="A902" s="560"/>
      <c r="B902" s="560"/>
      <c r="C902" s="560"/>
      <c r="D902" s="569"/>
      <c r="E902" s="561"/>
    </row>
    <row r="903" spans="1:5" x14ac:dyDescent="0.2">
      <c r="A903" s="563"/>
      <c r="B903" s="563"/>
      <c r="C903" s="563"/>
      <c r="D903" s="563"/>
      <c r="E903" s="565"/>
    </row>
    <row r="904" spans="1:5" x14ac:dyDescent="0.2">
      <c r="A904" s="571"/>
      <c r="B904" s="571"/>
      <c r="C904" s="571"/>
      <c r="D904" s="571"/>
      <c r="E904" s="572"/>
    </row>
    <row r="905" spans="1:5" x14ac:dyDescent="0.2">
      <c r="A905" s="560"/>
      <c r="B905" s="560"/>
      <c r="C905" s="560"/>
      <c r="D905" s="560"/>
      <c r="E905" s="561"/>
    </row>
    <row r="906" spans="1:5" x14ac:dyDescent="0.2">
      <c r="A906" s="560"/>
      <c r="B906" s="560"/>
      <c r="C906" s="560"/>
      <c r="D906" s="560"/>
      <c r="E906" s="561"/>
    </row>
    <row r="907" spans="1:5" x14ac:dyDescent="0.2">
      <c r="A907" s="560"/>
      <c r="B907" s="560"/>
      <c r="C907" s="560"/>
      <c r="D907" s="560"/>
      <c r="E907" s="561"/>
    </row>
    <row r="908" spans="1:5" x14ac:dyDescent="0.2">
      <c r="A908" s="560"/>
      <c r="B908" s="562"/>
      <c r="C908" s="560"/>
      <c r="D908" s="560"/>
      <c r="E908" s="561"/>
    </row>
    <row r="909" spans="1:5" x14ac:dyDescent="0.2">
      <c r="A909" s="560"/>
      <c r="B909" s="562"/>
      <c r="C909" s="560"/>
      <c r="D909" s="560"/>
      <c r="E909" s="561"/>
    </row>
    <row r="910" spans="1:5" x14ac:dyDescent="0.2">
      <c r="A910" s="560"/>
      <c r="B910" s="562"/>
      <c r="C910" s="560"/>
      <c r="D910" s="560"/>
      <c r="E910" s="561"/>
    </row>
    <row r="911" spans="1:5" x14ac:dyDescent="0.2">
      <c r="A911" s="560"/>
      <c r="B911" s="562"/>
      <c r="C911" s="560"/>
      <c r="D911" s="560"/>
      <c r="E911" s="561"/>
    </row>
    <row r="912" spans="1:5" x14ac:dyDescent="0.2">
      <c r="A912" s="560"/>
      <c r="B912" s="562"/>
      <c r="C912" s="560"/>
      <c r="D912" s="560"/>
      <c r="E912" s="561"/>
    </row>
    <row r="913" spans="1:5" x14ac:dyDescent="0.2">
      <c r="A913" s="560"/>
      <c r="B913" s="562"/>
      <c r="C913" s="560"/>
      <c r="D913" s="560"/>
      <c r="E913" s="561"/>
    </row>
    <row r="914" spans="1:5" x14ac:dyDescent="0.2">
      <c r="A914" s="560"/>
      <c r="B914" s="562"/>
      <c r="C914" s="560"/>
      <c r="D914" s="560"/>
      <c r="E914" s="561"/>
    </row>
    <row r="915" spans="1:5" x14ac:dyDescent="0.2">
      <c r="A915" s="560"/>
      <c r="B915" s="562"/>
      <c r="C915" s="560"/>
      <c r="D915" s="560"/>
      <c r="E915" s="561"/>
    </row>
    <row r="916" spans="1:5" x14ac:dyDescent="0.2">
      <c r="A916" s="560"/>
      <c r="B916" s="562"/>
      <c r="C916" s="560"/>
      <c r="D916" s="560"/>
      <c r="E916" s="561"/>
    </row>
    <row r="917" spans="1:5" x14ac:dyDescent="0.2">
      <c r="A917" s="563"/>
      <c r="B917" s="563"/>
      <c r="C917" s="563"/>
      <c r="D917" s="563"/>
      <c r="E917" s="565"/>
    </row>
    <row r="918" spans="1:5" x14ac:dyDescent="0.2">
      <c r="A918" s="560"/>
      <c r="B918" s="560"/>
      <c r="C918" s="560"/>
      <c r="D918" s="560"/>
      <c r="E918" s="561"/>
    </row>
    <row r="919" spans="1:5" x14ac:dyDescent="0.2">
      <c r="A919" s="560"/>
      <c r="B919" s="560"/>
      <c r="C919" s="560"/>
      <c r="D919" s="560"/>
      <c r="E919" s="561"/>
    </row>
    <row r="920" spans="1:5" x14ac:dyDescent="0.2">
      <c r="A920" s="560"/>
      <c r="B920" s="560"/>
      <c r="C920" s="560"/>
      <c r="D920" s="560"/>
      <c r="E920" s="561"/>
    </row>
    <row r="921" spans="1:5" x14ac:dyDescent="0.2">
      <c r="A921" s="560"/>
      <c r="B921" s="562"/>
      <c r="C921" s="560"/>
      <c r="D921" s="560"/>
      <c r="E921" s="561"/>
    </row>
    <row r="922" spans="1:5" x14ac:dyDescent="0.2">
      <c r="A922" s="560"/>
      <c r="B922" s="562"/>
      <c r="C922" s="560"/>
      <c r="D922" s="560"/>
      <c r="E922" s="561"/>
    </row>
    <row r="923" spans="1:5" x14ac:dyDescent="0.2">
      <c r="A923" s="560"/>
      <c r="B923" s="562"/>
      <c r="C923" s="560"/>
      <c r="D923" s="560"/>
      <c r="E923" s="561"/>
    </row>
    <row r="924" spans="1:5" x14ac:dyDescent="0.2">
      <c r="A924" s="560"/>
      <c r="B924" s="562"/>
      <c r="C924" s="560"/>
      <c r="D924" s="560"/>
      <c r="E924" s="561"/>
    </row>
    <row r="925" spans="1:5" x14ac:dyDescent="0.2">
      <c r="A925" s="560"/>
      <c r="B925" s="562"/>
      <c r="C925" s="560"/>
      <c r="D925" s="560"/>
      <c r="E925" s="561"/>
    </row>
    <row r="926" spans="1:5" x14ac:dyDescent="0.2">
      <c r="A926" s="560"/>
      <c r="B926" s="562"/>
      <c r="C926" s="560"/>
      <c r="D926" s="560"/>
      <c r="E926" s="561"/>
    </row>
    <row r="927" spans="1:5" x14ac:dyDescent="0.2">
      <c r="A927" s="560"/>
      <c r="B927" s="562"/>
      <c r="C927" s="560"/>
      <c r="D927" s="560"/>
      <c r="E927" s="561"/>
    </row>
    <row r="928" spans="1:5" x14ac:dyDescent="0.2">
      <c r="A928" s="560"/>
      <c r="B928" s="562"/>
      <c r="C928" s="560"/>
      <c r="D928" s="560"/>
      <c r="E928" s="561"/>
    </row>
    <row r="929" spans="1:5" x14ac:dyDescent="0.2">
      <c r="A929" s="560"/>
      <c r="B929" s="562"/>
      <c r="C929" s="560"/>
      <c r="D929" s="560"/>
      <c r="E929" s="561"/>
    </row>
    <row r="930" spans="1:5" x14ac:dyDescent="0.2">
      <c r="A930" s="563"/>
      <c r="B930" s="563"/>
      <c r="C930" s="563"/>
      <c r="D930" s="563"/>
      <c r="E930" s="565"/>
    </row>
    <row r="931" spans="1:5" x14ac:dyDescent="0.2">
      <c r="A931" s="560"/>
      <c r="B931" s="560"/>
      <c r="C931" s="560"/>
      <c r="D931" s="560"/>
      <c r="E931" s="561"/>
    </row>
    <row r="932" spans="1:5" x14ac:dyDescent="0.2">
      <c r="A932" s="560"/>
      <c r="B932" s="560"/>
      <c r="C932" s="560"/>
      <c r="D932" s="560"/>
      <c r="E932" s="561"/>
    </row>
    <row r="933" spans="1:5" x14ac:dyDescent="0.2">
      <c r="A933" s="560"/>
      <c r="B933" s="560"/>
      <c r="C933" s="560"/>
      <c r="D933" s="560"/>
      <c r="E933" s="561"/>
    </row>
    <row r="934" spans="1:5" x14ac:dyDescent="0.2">
      <c r="A934" s="560"/>
      <c r="B934" s="562"/>
      <c r="C934" s="560"/>
      <c r="D934" s="560"/>
      <c r="E934" s="561"/>
    </row>
    <row r="935" spans="1:5" x14ac:dyDescent="0.2">
      <c r="A935" s="560"/>
      <c r="B935" s="562"/>
      <c r="C935" s="560"/>
      <c r="D935" s="560"/>
      <c r="E935" s="561"/>
    </row>
    <row r="936" spans="1:5" x14ac:dyDescent="0.2">
      <c r="A936" s="560"/>
      <c r="B936" s="562"/>
      <c r="C936" s="560"/>
      <c r="D936" s="560"/>
      <c r="E936" s="561"/>
    </row>
    <row r="937" spans="1:5" x14ac:dyDescent="0.2">
      <c r="A937" s="560"/>
      <c r="B937" s="562"/>
      <c r="C937" s="560"/>
      <c r="D937" s="560"/>
      <c r="E937" s="561"/>
    </row>
    <row r="938" spans="1:5" x14ac:dyDescent="0.2">
      <c r="A938" s="560"/>
      <c r="B938" s="562"/>
      <c r="C938" s="560"/>
      <c r="D938" s="560"/>
      <c r="E938" s="561"/>
    </row>
    <row r="939" spans="1:5" x14ac:dyDescent="0.2">
      <c r="A939" s="560"/>
      <c r="B939" s="562"/>
      <c r="C939" s="560"/>
      <c r="D939" s="560"/>
      <c r="E939" s="561"/>
    </row>
    <row r="940" spans="1:5" x14ac:dyDescent="0.2">
      <c r="A940" s="560"/>
      <c r="B940" s="562"/>
      <c r="C940" s="560"/>
      <c r="D940" s="560"/>
      <c r="E940" s="561"/>
    </row>
    <row r="941" spans="1:5" x14ac:dyDescent="0.2">
      <c r="A941" s="560"/>
      <c r="B941" s="562"/>
      <c r="C941" s="560"/>
      <c r="D941" s="560"/>
      <c r="E941" s="561"/>
    </row>
    <row r="942" spans="1:5" x14ac:dyDescent="0.2">
      <c r="A942" s="560"/>
      <c r="B942" s="562"/>
      <c r="C942" s="560"/>
      <c r="D942" s="560"/>
      <c r="E942" s="561"/>
    </row>
    <row r="943" spans="1:5" x14ac:dyDescent="0.2">
      <c r="A943" s="563"/>
      <c r="B943" s="563"/>
      <c r="C943" s="563"/>
      <c r="D943" s="563"/>
      <c r="E943" s="565"/>
    </row>
    <row r="944" spans="1:5" x14ac:dyDescent="0.2">
      <c r="A944" s="571"/>
      <c r="B944" s="571"/>
      <c r="C944" s="571"/>
      <c r="D944" s="571"/>
      <c r="E944" s="572"/>
    </row>
    <row r="945" spans="1:5" x14ac:dyDescent="0.2">
      <c r="A945" s="560" t="s">
        <v>1005</v>
      </c>
      <c r="B945" s="560" t="s">
        <v>1005</v>
      </c>
      <c r="C945" s="560">
        <v>1000</v>
      </c>
      <c r="D945" s="569">
        <v>6810</v>
      </c>
      <c r="E945" s="561">
        <f>SUMIFS('Accounting data'!$G$2:$G$37000,'Accounting data'!$J$2:$J$37000,"1*",'Accounting data'!$K$2:$K$37000,"681*")</f>
        <v>9208</v>
      </c>
    </row>
    <row r="946" spans="1:5" x14ac:dyDescent="0.2">
      <c r="A946" s="560" t="s">
        <v>1006</v>
      </c>
      <c r="B946" s="560" t="s">
        <v>1005</v>
      </c>
      <c r="C946" s="560">
        <v>1000</v>
      </c>
      <c r="D946" s="569">
        <v>6810</v>
      </c>
      <c r="E946" s="561">
        <f>SUMIFS('Accounting data'!$G$2:$G$37000,'Accounting data'!$H$2:$H$37000,"9999*",'Accounting data'!$J$2:$J$37000,"1*",'Accounting data'!$K$2:$K$37000,"681*")</f>
        <v>0</v>
      </c>
    </row>
    <row r="947" spans="1:5" x14ac:dyDescent="0.2">
      <c r="A947" s="560" t="s">
        <v>1005</v>
      </c>
      <c r="B947" s="560" t="s">
        <v>1007</v>
      </c>
      <c r="C947" s="560">
        <v>1000</v>
      </c>
      <c r="D947" s="569">
        <v>6810</v>
      </c>
      <c r="E947" s="561">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2" t="s">
        <v>1006</v>
      </c>
      <c r="B948" s="560" t="s">
        <v>1007</v>
      </c>
      <c r="C948" s="560">
        <v>1000</v>
      </c>
      <c r="D948" s="569">
        <v>6810</v>
      </c>
      <c r="E948" s="561">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0"/>
      <c r="B949" s="560"/>
      <c r="C949" s="560"/>
      <c r="D949" s="569"/>
      <c r="E949" s="561"/>
    </row>
    <row r="950" spans="1:5" x14ac:dyDescent="0.2">
      <c r="A950" s="560"/>
      <c r="B950" s="560"/>
      <c r="C950" s="560"/>
      <c r="D950" s="569"/>
      <c r="E950" s="561"/>
    </row>
    <row r="951" spans="1:5" x14ac:dyDescent="0.2">
      <c r="A951" s="563" t="s">
        <v>1069</v>
      </c>
      <c r="B951" s="563"/>
      <c r="C951" s="563"/>
      <c r="D951" s="563"/>
      <c r="E951" s="565">
        <f>((E945-E946-E947)+(E948+E949+E950))</f>
        <v>9208</v>
      </c>
    </row>
    <row r="952" spans="1:5" x14ac:dyDescent="0.2">
      <c r="A952" s="560" t="s">
        <v>1005</v>
      </c>
      <c r="B952" s="560" t="s">
        <v>1005</v>
      </c>
      <c r="C952" s="560">
        <v>2100</v>
      </c>
      <c r="D952" s="569">
        <v>6810</v>
      </c>
      <c r="E952" s="561">
        <f>SUMIFS('Accounting data'!$G$2:$G$37000,'Accounting data'!$J$2:$J$37000,"21*",'Accounting data'!$K$2:$K$37000,"681*")</f>
        <v>878</v>
      </c>
    </row>
    <row r="953" spans="1:5" x14ac:dyDescent="0.2">
      <c r="A953" s="560" t="s">
        <v>1006</v>
      </c>
      <c r="B953" s="560" t="s">
        <v>1005</v>
      </c>
      <c r="C953" s="560">
        <v>2100</v>
      </c>
      <c r="D953" s="569">
        <v>6810</v>
      </c>
      <c r="E953" s="561">
        <f>SUMIFS('Accounting data'!$G$2:$G$37000,'Accounting data'!$H$2:$H$37000,"9999*",'Accounting data'!$J$2:$J$37000,"21*",'Accounting data'!$K$2:$K$37000,"681*")</f>
        <v>0</v>
      </c>
    </row>
    <row r="954" spans="1:5" x14ac:dyDescent="0.2">
      <c r="A954" s="560" t="s">
        <v>1005</v>
      </c>
      <c r="B954" s="560" t="s">
        <v>1007</v>
      </c>
      <c r="C954" s="560">
        <v>2100</v>
      </c>
      <c r="D954" s="569">
        <v>6810</v>
      </c>
      <c r="E954" s="561">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2" t="s">
        <v>1006</v>
      </c>
      <c r="B955" s="560" t="s">
        <v>1007</v>
      </c>
      <c r="C955" s="560">
        <v>2100</v>
      </c>
      <c r="D955" s="569">
        <v>6810</v>
      </c>
      <c r="E955" s="561">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0"/>
      <c r="B956" s="560"/>
      <c r="C956" s="560"/>
      <c r="D956" s="569"/>
      <c r="E956" s="561"/>
    </row>
    <row r="957" spans="1:5" x14ac:dyDescent="0.2">
      <c r="A957" s="560"/>
      <c r="B957" s="560"/>
      <c r="C957" s="560"/>
      <c r="D957" s="569"/>
      <c r="E957" s="561"/>
    </row>
    <row r="958" spans="1:5" x14ac:dyDescent="0.2">
      <c r="A958" s="563" t="s">
        <v>1070</v>
      </c>
      <c r="B958" s="563"/>
      <c r="C958" s="563"/>
      <c r="D958" s="563"/>
      <c r="E958" s="565">
        <f>(E952-E953-E954)+(E955+E956+E957)</f>
        <v>878</v>
      </c>
    </row>
    <row r="959" spans="1:5" x14ac:dyDescent="0.2">
      <c r="A959" s="560" t="s">
        <v>1005</v>
      </c>
      <c r="B959" s="560" t="s">
        <v>1005</v>
      </c>
      <c r="C959" s="560">
        <v>2200</v>
      </c>
      <c r="D959" s="569">
        <v>6810</v>
      </c>
      <c r="E959" s="561">
        <f>SUMIFS('Accounting data'!$G$2:$G$37000,'Accounting data'!$J$2:$J$37000,"22*",'Accounting data'!$K$2:$K$37000,"681*")</f>
        <v>255</v>
      </c>
    </row>
    <row r="960" spans="1:5" x14ac:dyDescent="0.2">
      <c r="A960" s="560" t="s">
        <v>1006</v>
      </c>
      <c r="B960" s="560" t="s">
        <v>1005</v>
      </c>
      <c r="C960" s="560">
        <v>2200</v>
      </c>
      <c r="D960" s="569">
        <v>6810</v>
      </c>
      <c r="E960" s="561">
        <f>SUMIFS('Accounting data'!$G$2:$G$37000,'Accounting data'!$H$2:$H$37000,"9999*",'Accounting data'!$J$2:$J$37000,"22*",'Accounting data'!$K$2:$K$37000,"681*")</f>
        <v>0</v>
      </c>
    </row>
    <row r="961" spans="1:5" x14ac:dyDescent="0.2">
      <c r="A961" s="560" t="s">
        <v>1005</v>
      </c>
      <c r="B961" s="560" t="s">
        <v>1007</v>
      </c>
      <c r="C961" s="560">
        <v>2200</v>
      </c>
      <c r="D961" s="569">
        <v>6810</v>
      </c>
      <c r="E961" s="561">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2" t="s">
        <v>1006</v>
      </c>
      <c r="B962" s="560" t="s">
        <v>1007</v>
      </c>
      <c r="C962" s="560">
        <v>2200</v>
      </c>
      <c r="D962" s="569">
        <v>6810</v>
      </c>
      <c r="E962" s="561">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0"/>
      <c r="B963" s="560"/>
      <c r="C963" s="560"/>
      <c r="D963" s="569"/>
      <c r="E963" s="561"/>
    </row>
    <row r="964" spans="1:5" x14ac:dyDescent="0.2">
      <c r="A964" s="560"/>
      <c r="B964" s="560"/>
      <c r="C964" s="560"/>
      <c r="D964" s="569"/>
      <c r="E964" s="561"/>
    </row>
    <row r="965" spans="1:5" x14ac:dyDescent="0.2">
      <c r="A965" s="563" t="s">
        <v>1071</v>
      </c>
      <c r="B965" s="563"/>
      <c r="C965" s="563"/>
      <c r="D965" s="563"/>
      <c r="E965" s="565">
        <f>(E959-E960-E961)+(E962+E963+E964)</f>
        <v>255</v>
      </c>
    </row>
    <row r="966" spans="1:5" x14ac:dyDescent="0.2">
      <c r="A966" s="560" t="s">
        <v>1005</v>
      </c>
      <c r="B966" s="560" t="s">
        <v>1005</v>
      </c>
      <c r="C966" s="560">
        <v>2300</v>
      </c>
      <c r="D966" s="569">
        <v>6810</v>
      </c>
      <c r="E966" s="561">
        <f>SUMIFS('Accounting data'!$G$2:$G$37000,'Accounting data'!$J$2:$J$37000,"23*",'Accounting data'!$K$2:$K$37000,"681*")</f>
        <v>1403</v>
      </c>
    </row>
    <row r="967" spans="1:5" x14ac:dyDescent="0.2">
      <c r="A967" s="560" t="s">
        <v>1006</v>
      </c>
      <c r="B967" s="560" t="s">
        <v>1005</v>
      </c>
      <c r="C967" s="560">
        <v>2300</v>
      </c>
      <c r="D967" s="569">
        <v>6810</v>
      </c>
      <c r="E967" s="561">
        <f>SUMIFS('Accounting data'!$G$2:$G$37000,'Accounting data'!$H$2:$H$37000,"9999*",'Accounting data'!$J$2:$J$37000,"23*",'Accounting data'!$K$2:$K$37000,"681*")</f>
        <v>0</v>
      </c>
    </row>
    <row r="968" spans="1:5" x14ac:dyDescent="0.2">
      <c r="A968" s="560" t="s">
        <v>1005</v>
      </c>
      <c r="B968" s="560" t="s">
        <v>1007</v>
      </c>
      <c r="C968" s="560">
        <v>2300</v>
      </c>
      <c r="D968" s="569">
        <v>6810</v>
      </c>
      <c r="E968" s="561">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2" t="s">
        <v>1006</v>
      </c>
      <c r="B969" s="560" t="s">
        <v>1007</v>
      </c>
      <c r="C969" s="560">
        <v>2300</v>
      </c>
      <c r="D969" s="569">
        <v>6810</v>
      </c>
      <c r="E969" s="561">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0"/>
      <c r="B970" s="560"/>
      <c r="C970" s="560"/>
      <c r="D970" s="569"/>
      <c r="E970" s="561"/>
    </row>
    <row r="971" spans="1:5" x14ac:dyDescent="0.2">
      <c r="A971" s="560"/>
      <c r="B971" s="560"/>
      <c r="C971" s="560"/>
      <c r="D971" s="569"/>
      <c r="E971" s="561"/>
    </row>
    <row r="972" spans="1:5" x14ac:dyDescent="0.2">
      <c r="A972" s="563" t="s">
        <v>1072</v>
      </c>
      <c r="B972" s="563"/>
      <c r="C972" s="563"/>
      <c r="D972" s="563"/>
      <c r="E972" s="565">
        <f>(E966-E967-E968)+(E969+E970+E971)</f>
        <v>1403</v>
      </c>
    </row>
    <row r="973" spans="1:5" x14ac:dyDescent="0.2">
      <c r="A973" s="560" t="s">
        <v>1005</v>
      </c>
      <c r="B973" s="560" t="s">
        <v>1005</v>
      </c>
      <c r="C973" s="560">
        <v>2400</v>
      </c>
      <c r="D973" s="569">
        <v>6810</v>
      </c>
      <c r="E973" s="561">
        <f>SUMIFS('Accounting data'!$G$2:$G$37000,'Accounting data'!$J$2:$J$37000,"24*",'Accounting data'!$K$2:$K$37000,"681*")</f>
        <v>2569</v>
      </c>
    </row>
    <row r="974" spans="1:5" x14ac:dyDescent="0.2">
      <c r="A974" s="560" t="s">
        <v>1006</v>
      </c>
      <c r="B974" s="560" t="s">
        <v>1005</v>
      </c>
      <c r="C974" s="560">
        <v>2400</v>
      </c>
      <c r="D974" s="569">
        <v>6810</v>
      </c>
      <c r="E974" s="561">
        <f>SUMIFS('Accounting data'!$G$2:$G$37000,'Accounting data'!$H$2:$H$37000,"9999*",'Accounting data'!$J$2:$J$37000,"24*",'Accounting data'!$K$2:$K$37000,"681*")</f>
        <v>0</v>
      </c>
    </row>
    <row r="975" spans="1:5" x14ac:dyDescent="0.2">
      <c r="A975" s="560" t="s">
        <v>1005</v>
      </c>
      <c r="B975" s="560" t="s">
        <v>1007</v>
      </c>
      <c r="C975" s="560">
        <v>2400</v>
      </c>
      <c r="D975" s="569">
        <v>6810</v>
      </c>
      <c r="E975" s="561">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2" t="s">
        <v>1006</v>
      </c>
      <c r="B976" s="560" t="s">
        <v>1007</v>
      </c>
      <c r="C976" s="560">
        <v>2400</v>
      </c>
      <c r="D976" s="569">
        <v>6810</v>
      </c>
      <c r="E976" s="561">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0"/>
      <c r="B977" s="560"/>
      <c r="C977" s="560"/>
      <c r="D977" s="569"/>
      <c r="E977" s="561"/>
    </row>
    <row r="978" spans="1:5" x14ac:dyDescent="0.2">
      <c r="A978" s="560"/>
      <c r="B978" s="560"/>
      <c r="C978" s="560"/>
      <c r="D978" s="569"/>
      <c r="E978" s="561"/>
    </row>
    <row r="979" spans="1:5" x14ac:dyDescent="0.2">
      <c r="A979" s="563" t="s">
        <v>1073</v>
      </c>
      <c r="B979" s="563"/>
      <c r="C979" s="563"/>
      <c r="D979" s="563"/>
      <c r="E979" s="565">
        <f>(E973-E974-E975)+(E976+E977+E978)</f>
        <v>2569</v>
      </c>
    </row>
    <row r="980" spans="1:5" x14ac:dyDescent="0.2">
      <c r="A980" s="560" t="s">
        <v>1005</v>
      </c>
      <c r="B980" s="560" t="s">
        <v>1005</v>
      </c>
      <c r="C980" s="560">
        <v>2500</v>
      </c>
      <c r="D980" s="569">
        <v>6810</v>
      </c>
      <c r="E980" s="561">
        <f>SUMIFS('Accounting data'!$G$2:$G$37000,'Accounting data'!$J$2:$J$37000,"25*",'Accounting data'!$K$2:$K$37000,"681*")</f>
        <v>136458</v>
      </c>
    </row>
    <row r="981" spans="1:5" x14ac:dyDescent="0.2">
      <c r="A981" s="560" t="s">
        <v>1006</v>
      </c>
      <c r="B981" s="560" t="s">
        <v>1005</v>
      </c>
      <c r="C981" s="560">
        <v>2500</v>
      </c>
      <c r="D981" s="569">
        <v>6810</v>
      </c>
      <c r="E981" s="561">
        <f>SUMIFS('Accounting data'!$G$2:$G$37000,'Accounting data'!$H$2:$H$37000,"9999*",'Accounting data'!$J$2:$J$37000,"25*",'Accounting data'!$K$2:$K$37000,"681*")</f>
        <v>0</v>
      </c>
    </row>
    <row r="982" spans="1:5" x14ac:dyDescent="0.2">
      <c r="A982" s="560" t="s">
        <v>1005</v>
      </c>
      <c r="B982" s="560" t="s">
        <v>1007</v>
      </c>
      <c r="C982" s="560">
        <v>2500</v>
      </c>
      <c r="D982" s="569">
        <v>6810</v>
      </c>
      <c r="E982" s="561">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2" t="s">
        <v>1006</v>
      </c>
      <c r="B983" s="560" t="s">
        <v>1007</v>
      </c>
      <c r="C983" s="560">
        <v>2500</v>
      </c>
      <c r="D983" s="569">
        <v>6810</v>
      </c>
      <c r="E983" s="561">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0"/>
      <c r="B984" s="560"/>
      <c r="C984" s="560"/>
      <c r="D984" s="569"/>
      <c r="E984" s="561"/>
    </row>
    <row r="985" spans="1:5" x14ac:dyDescent="0.2">
      <c r="A985" s="560"/>
      <c r="B985" s="560"/>
      <c r="C985" s="560"/>
      <c r="D985" s="569"/>
      <c r="E985" s="561"/>
    </row>
    <row r="986" spans="1:5" x14ac:dyDescent="0.2">
      <c r="A986" s="563" t="s">
        <v>1074</v>
      </c>
      <c r="B986" s="563"/>
      <c r="C986" s="563"/>
      <c r="D986" s="563"/>
      <c r="E986" s="565">
        <f>(E980-E981-E982)+(E983+E984+E985)</f>
        <v>136458</v>
      </c>
    </row>
    <row r="987" spans="1:5" x14ac:dyDescent="0.2">
      <c r="A987" s="560" t="s">
        <v>1005</v>
      </c>
      <c r="B987" s="560" t="s">
        <v>1005</v>
      </c>
      <c r="C987" s="560">
        <v>2900</v>
      </c>
      <c r="D987" s="569">
        <v>6810</v>
      </c>
      <c r="E987" s="561">
        <f>SUMIFS('Accounting data'!$G$2:$G$37000,'Accounting data'!$J$2:$J$37000,"29*",'Accounting data'!$K$2:$K$37000,"681*")</f>
        <v>0</v>
      </c>
    </row>
    <row r="988" spans="1:5" x14ac:dyDescent="0.2">
      <c r="A988" s="560" t="s">
        <v>1006</v>
      </c>
      <c r="B988" s="560" t="s">
        <v>1005</v>
      </c>
      <c r="C988" s="560">
        <v>2900</v>
      </c>
      <c r="D988" s="569">
        <v>6810</v>
      </c>
      <c r="E988" s="561">
        <f>SUMIFS('Accounting data'!$G$2:$G$37000,'Accounting data'!$H$2:$H$37000,"9999*",'Accounting data'!$J$2:$J$37000,"29*",'Accounting data'!$K$2:$K$37000,"681*")</f>
        <v>0</v>
      </c>
    </row>
    <row r="989" spans="1:5" x14ac:dyDescent="0.2">
      <c r="A989" s="560" t="s">
        <v>1005</v>
      </c>
      <c r="B989" s="560" t="s">
        <v>1007</v>
      </c>
      <c r="C989" s="560">
        <v>2900</v>
      </c>
      <c r="D989" s="569">
        <v>6810</v>
      </c>
      <c r="E989" s="561">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2" t="s">
        <v>1006</v>
      </c>
      <c r="B990" s="560" t="s">
        <v>1007</v>
      </c>
      <c r="C990" s="560">
        <v>2900</v>
      </c>
      <c r="D990" s="569">
        <v>6810</v>
      </c>
      <c r="E990" s="561">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0"/>
      <c r="B991" s="560"/>
      <c r="C991" s="560"/>
      <c r="D991" s="569"/>
      <c r="E991" s="561"/>
    </row>
    <row r="992" spans="1:5" x14ac:dyDescent="0.2">
      <c r="A992" s="560"/>
      <c r="B992" s="560"/>
      <c r="C992" s="560"/>
      <c r="D992" s="569"/>
      <c r="E992" s="561"/>
    </row>
    <row r="993" spans="1:5" x14ac:dyDescent="0.2">
      <c r="A993" s="563" t="s">
        <v>1075</v>
      </c>
      <c r="B993" s="563"/>
      <c r="C993" s="563"/>
      <c r="D993" s="563"/>
      <c r="E993" s="565">
        <f>(E987-E988-E989)+(E990+E991+E992)</f>
        <v>0</v>
      </c>
    </row>
    <row r="994" spans="1:5" x14ac:dyDescent="0.2">
      <c r="A994" s="560" t="s">
        <v>1005</v>
      </c>
      <c r="B994" s="560" t="s">
        <v>1005</v>
      </c>
      <c r="C994" s="560">
        <v>2600</v>
      </c>
      <c r="D994" s="569">
        <v>6810</v>
      </c>
      <c r="E994" s="561">
        <f>SUMIFS('Accounting data'!$G$2:$G$37000,'Accounting data'!$J$2:$J$37000,"26*",'Accounting data'!$K$2:$K$37000,"681*")</f>
        <v>2022</v>
      </c>
    </row>
    <row r="995" spans="1:5" x14ac:dyDescent="0.2">
      <c r="A995" s="560" t="s">
        <v>1006</v>
      </c>
      <c r="B995" s="560" t="s">
        <v>1005</v>
      </c>
      <c r="C995" s="560">
        <v>2600</v>
      </c>
      <c r="D995" s="569">
        <v>6810</v>
      </c>
      <c r="E995" s="561">
        <f>SUMIFS('Accounting data'!$G$2:$G$37000,'Accounting data'!$H$2:$H$37000,"9999*",'Accounting data'!$J$2:$J$37000,"26*",'Accounting data'!$K$2:$K$37000,"681*")</f>
        <v>0</v>
      </c>
    </row>
    <row r="996" spans="1:5" x14ac:dyDescent="0.2">
      <c r="A996" s="560" t="s">
        <v>1005</v>
      </c>
      <c r="B996" s="560" t="s">
        <v>1007</v>
      </c>
      <c r="C996" s="560">
        <v>2600</v>
      </c>
      <c r="D996" s="569">
        <v>6810</v>
      </c>
      <c r="E996" s="561">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2" t="s">
        <v>1006</v>
      </c>
      <c r="B997" s="560" t="s">
        <v>1007</v>
      </c>
      <c r="C997" s="560">
        <v>2600</v>
      </c>
      <c r="D997" s="569">
        <v>6810</v>
      </c>
      <c r="E997" s="561">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0"/>
      <c r="B998" s="560"/>
      <c r="C998" s="560"/>
      <c r="D998" s="569"/>
      <c r="E998" s="561"/>
    </row>
    <row r="999" spans="1:5" x14ac:dyDescent="0.2">
      <c r="A999" s="560"/>
      <c r="B999" s="560"/>
      <c r="C999" s="560"/>
      <c r="D999" s="569"/>
      <c r="E999" s="561"/>
    </row>
    <row r="1000" spans="1:5" x14ac:dyDescent="0.2">
      <c r="A1000" s="563" t="s">
        <v>1076</v>
      </c>
      <c r="B1000" s="563"/>
      <c r="C1000" s="563"/>
      <c r="D1000" s="563"/>
      <c r="E1000" s="565">
        <f>(E994-E995-E996)+(E997+E998+E999)</f>
        <v>2022</v>
      </c>
    </row>
    <row r="1001" spans="1:5" x14ac:dyDescent="0.2">
      <c r="A1001" s="560" t="s">
        <v>1005</v>
      </c>
      <c r="B1001" s="560" t="s">
        <v>1005</v>
      </c>
      <c r="C1001" s="560">
        <v>2700</v>
      </c>
      <c r="D1001" s="569">
        <v>6810</v>
      </c>
      <c r="E1001" s="561">
        <f>SUMIFS('Accounting data'!$G$2:$G$37000,'Accounting data'!$J$2:$J$37000,"27*",'Accounting data'!$K$2:$K$37000,"681*")</f>
        <v>0</v>
      </c>
    </row>
    <row r="1002" spans="1:5" x14ac:dyDescent="0.2">
      <c r="A1002" s="560" t="s">
        <v>1006</v>
      </c>
      <c r="B1002" s="560" t="s">
        <v>1005</v>
      </c>
      <c r="C1002" s="560">
        <v>2700</v>
      </c>
      <c r="D1002" s="569">
        <v>6810</v>
      </c>
      <c r="E1002" s="561">
        <f>SUMIFS('Accounting data'!$G$2:$G$37000,'Accounting data'!$H$2:$H$37000,"9999*",'Accounting data'!$J$2:$J$37000,"27*",'Accounting data'!$K$2:$K$37000,"681*")</f>
        <v>0</v>
      </c>
    </row>
    <row r="1003" spans="1:5" x14ac:dyDescent="0.2">
      <c r="A1003" s="560" t="s">
        <v>1005</v>
      </c>
      <c r="B1003" s="560" t="s">
        <v>1007</v>
      </c>
      <c r="C1003" s="560">
        <v>2700</v>
      </c>
      <c r="D1003" s="569">
        <v>6810</v>
      </c>
      <c r="E1003" s="561">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2" t="s">
        <v>1006</v>
      </c>
      <c r="B1004" s="560" t="s">
        <v>1007</v>
      </c>
      <c r="C1004" s="560">
        <v>2700</v>
      </c>
      <c r="D1004" s="569">
        <v>6810</v>
      </c>
      <c r="E1004" s="561">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0"/>
      <c r="B1005" s="560"/>
      <c r="C1005" s="560"/>
      <c r="D1005" s="569"/>
      <c r="E1005" s="561"/>
    </row>
    <row r="1006" spans="1:5" x14ac:dyDescent="0.2">
      <c r="A1006" s="560"/>
      <c r="B1006" s="560"/>
      <c r="C1006" s="560"/>
      <c r="D1006" s="569"/>
      <c r="E1006" s="561"/>
    </row>
    <row r="1007" spans="1:5" x14ac:dyDescent="0.2">
      <c r="A1007" s="563" t="s">
        <v>1077</v>
      </c>
      <c r="B1007" s="563"/>
      <c r="C1007" s="563"/>
      <c r="D1007" s="563"/>
      <c r="E1007" s="565">
        <f>(E1001-E1002-E1003)+(E1004+E1005+E1006)</f>
        <v>0</v>
      </c>
    </row>
    <row r="1008" spans="1:5" x14ac:dyDescent="0.2">
      <c r="A1008" s="560" t="s">
        <v>1005</v>
      </c>
      <c r="B1008" s="560" t="s">
        <v>1005</v>
      </c>
      <c r="C1008" s="560">
        <v>3100</v>
      </c>
      <c r="D1008" s="569">
        <v>6810</v>
      </c>
      <c r="E1008" s="561">
        <f>SUMIFS('Accounting data'!$G$2:$G$37000,'Accounting data'!$J$2:$J$37000,"31*",'Accounting data'!$K$2:$K$37000,"681*")</f>
        <v>1807</v>
      </c>
    </row>
    <row r="1009" spans="1:5" x14ac:dyDescent="0.2">
      <c r="A1009" s="560" t="s">
        <v>1006</v>
      </c>
      <c r="B1009" s="560" t="s">
        <v>1005</v>
      </c>
      <c r="C1009" s="560">
        <v>3100</v>
      </c>
      <c r="D1009" s="569">
        <v>6810</v>
      </c>
      <c r="E1009" s="561">
        <f>SUMIFS('Accounting data'!$G$2:$G$37000,'Accounting data'!$H$2:$H$37000,"9999*",'Accounting data'!$J$2:$J$37000,"31*",'Accounting data'!$K$2:$K$37000,"681*")</f>
        <v>0</v>
      </c>
    </row>
    <row r="1010" spans="1:5" x14ac:dyDescent="0.2">
      <c r="A1010" s="560" t="s">
        <v>1005</v>
      </c>
      <c r="B1010" s="560" t="s">
        <v>1007</v>
      </c>
      <c r="C1010" s="560">
        <v>3100</v>
      </c>
      <c r="D1010" s="569">
        <v>6810</v>
      </c>
      <c r="E1010" s="561">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2" t="s">
        <v>1006</v>
      </c>
      <c r="B1011" s="560" t="s">
        <v>1007</v>
      </c>
      <c r="C1011" s="560">
        <v>3100</v>
      </c>
      <c r="D1011" s="569">
        <v>6810</v>
      </c>
      <c r="E1011" s="561">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0"/>
      <c r="B1012" s="560"/>
      <c r="C1012" s="560"/>
      <c r="D1012" s="569"/>
      <c r="E1012" s="561"/>
    </row>
    <row r="1013" spans="1:5" x14ac:dyDescent="0.2">
      <c r="A1013" s="560"/>
      <c r="B1013" s="560"/>
      <c r="C1013" s="560"/>
      <c r="D1013" s="569"/>
      <c r="E1013" s="561"/>
    </row>
    <row r="1014" spans="1:5" x14ac:dyDescent="0.2">
      <c r="A1014" s="563" t="s">
        <v>1078</v>
      </c>
      <c r="B1014" s="563"/>
      <c r="C1014" s="563"/>
      <c r="D1014" s="563"/>
      <c r="E1014" s="565">
        <f>(E1008-E1009-E1010)+(E1011+E1012+E1013)</f>
        <v>1807</v>
      </c>
    </row>
    <row r="1015" spans="1:5" x14ac:dyDescent="0.2">
      <c r="A1015" s="560"/>
      <c r="B1015" s="560"/>
      <c r="C1015" s="560"/>
      <c r="D1015" s="569"/>
      <c r="E1015" s="561"/>
    </row>
    <row r="1016" spans="1:5" x14ac:dyDescent="0.2">
      <c r="A1016" s="560"/>
      <c r="B1016" s="560"/>
      <c r="C1016" s="560"/>
      <c r="D1016" s="569"/>
      <c r="E1016" s="561"/>
    </row>
    <row r="1017" spans="1:5" x14ac:dyDescent="0.2">
      <c r="A1017" s="560"/>
      <c r="B1017" s="560"/>
      <c r="C1017" s="560"/>
      <c r="D1017" s="569"/>
      <c r="E1017" s="561"/>
    </row>
    <row r="1018" spans="1:5" x14ac:dyDescent="0.2">
      <c r="A1018" s="562"/>
      <c r="B1018" s="560"/>
      <c r="C1018" s="560"/>
      <c r="D1018" s="569"/>
      <c r="E1018" s="561"/>
    </row>
    <row r="1019" spans="1:5" x14ac:dyDescent="0.2">
      <c r="A1019" s="560"/>
      <c r="B1019" s="560"/>
      <c r="C1019" s="560"/>
      <c r="D1019" s="569"/>
      <c r="E1019" s="561"/>
    </row>
    <row r="1020" spans="1:5" x14ac:dyDescent="0.2">
      <c r="A1020" s="560"/>
      <c r="B1020" s="560"/>
      <c r="C1020" s="560"/>
      <c r="D1020" s="569"/>
      <c r="E1020" s="561"/>
    </row>
    <row r="1021" spans="1:5" x14ac:dyDescent="0.2">
      <c r="A1021" s="563"/>
      <c r="B1021" s="563"/>
      <c r="C1021" s="563"/>
      <c r="D1021" s="563"/>
      <c r="E1021" s="565"/>
    </row>
    <row r="1022" spans="1:5" x14ac:dyDescent="0.2">
      <c r="A1022" s="560" t="s">
        <v>1005</v>
      </c>
      <c r="B1022" s="560" t="s">
        <v>1005</v>
      </c>
      <c r="C1022" s="560">
        <v>3400</v>
      </c>
      <c r="D1022" s="569">
        <v>6810</v>
      </c>
      <c r="E1022" s="561">
        <f>SUMIFS('Accounting data'!$G$2:$G$37000,'Accounting data'!$J$2:$J$37000,"34*",'Accounting data'!$K$2:$K$37000,"681*")</f>
        <v>0</v>
      </c>
    </row>
    <row r="1023" spans="1:5" x14ac:dyDescent="0.2">
      <c r="A1023" s="560" t="s">
        <v>1006</v>
      </c>
      <c r="B1023" s="560" t="s">
        <v>1005</v>
      </c>
      <c r="C1023" s="560">
        <v>3400</v>
      </c>
      <c r="D1023" s="569">
        <v>6810</v>
      </c>
      <c r="E1023" s="561">
        <f>SUMIFS('Accounting data'!$G$2:$G$37000,'Accounting data'!$H$2:$H$37000,"9999*",'Accounting data'!$J$2:$J$37000,"34*",'Accounting data'!$K$2:$K$37000,"681*")</f>
        <v>0</v>
      </c>
    </row>
    <row r="1024" spans="1:5" x14ac:dyDescent="0.2">
      <c r="A1024" s="560" t="s">
        <v>1005</v>
      </c>
      <c r="B1024" s="560" t="s">
        <v>1007</v>
      </c>
      <c r="C1024" s="560">
        <v>3400</v>
      </c>
      <c r="D1024" s="569">
        <v>6810</v>
      </c>
      <c r="E1024" s="561">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2" t="s">
        <v>1006</v>
      </c>
      <c r="B1025" s="560" t="s">
        <v>1007</v>
      </c>
      <c r="C1025" s="560">
        <v>3400</v>
      </c>
      <c r="D1025" s="569">
        <v>6810</v>
      </c>
      <c r="E1025" s="561">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0"/>
      <c r="B1026" s="560"/>
      <c r="C1026" s="560"/>
      <c r="D1026" s="569"/>
      <c r="E1026" s="561"/>
    </row>
    <row r="1027" spans="1:5" x14ac:dyDescent="0.2">
      <c r="A1027" s="560"/>
      <c r="B1027" s="560"/>
      <c r="C1027" s="560"/>
      <c r="D1027" s="569"/>
      <c r="E1027" s="561"/>
    </row>
    <row r="1028" spans="1:5" x14ac:dyDescent="0.2">
      <c r="A1028" s="563" t="s">
        <v>1079</v>
      </c>
      <c r="B1028" s="563"/>
      <c r="C1028" s="563"/>
      <c r="D1028" s="563"/>
      <c r="E1028" s="565">
        <f>(E1022-E1023-E1024)+(E1025+E1026+E1027)</f>
        <v>0</v>
      </c>
    </row>
    <row r="1029" spans="1:5" x14ac:dyDescent="0.2">
      <c r="A1029" s="560" t="s">
        <v>1005</v>
      </c>
      <c r="B1029" s="560" t="s">
        <v>1005</v>
      </c>
      <c r="C1029" s="560">
        <v>4000</v>
      </c>
      <c r="D1029" s="569">
        <v>6810</v>
      </c>
      <c r="E1029" s="561">
        <f>SUMIFS('Accounting data'!$G$2:$G$37000,'Accounting data'!$J$2:$J$37000,"4*",'Accounting data'!$K$2:$K$37000,"681*")</f>
        <v>0</v>
      </c>
    </row>
    <row r="1030" spans="1:5" x14ac:dyDescent="0.2">
      <c r="A1030" s="560" t="s">
        <v>1006</v>
      </c>
      <c r="B1030" s="560" t="s">
        <v>1005</v>
      </c>
      <c r="C1030" s="560">
        <v>4000</v>
      </c>
      <c r="D1030" s="569">
        <v>6810</v>
      </c>
      <c r="E1030" s="561">
        <f>SUMIFS('Accounting data'!$G$2:$G$37000,'Accounting data'!$H$2:$H$37000,"9999*",'Accounting data'!$J$2:$J$37000,"4*",'Accounting data'!$K$2:$K$37000,"681*")</f>
        <v>0</v>
      </c>
    </row>
    <row r="1031" spans="1:5" x14ac:dyDescent="0.2">
      <c r="A1031" s="560" t="s">
        <v>1005</v>
      </c>
      <c r="B1031" s="560" t="s">
        <v>1007</v>
      </c>
      <c r="C1031" s="560">
        <v>4000</v>
      </c>
      <c r="D1031" s="569">
        <v>6810</v>
      </c>
      <c r="E1031" s="561">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2" t="s">
        <v>1006</v>
      </c>
      <c r="B1032" s="560" t="s">
        <v>1007</v>
      </c>
      <c r="C1032" s="560">
        <v>4000</v>
      </c>
      <c r="D1032" s="569">
        <v>6810</v>
      </c>
      <c r="E1032" s="561">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0"/>
      <c r="B1033" s="560"/>
      <c r="C1033" s="560"/>
      <c r="D1033" s="569"/>
      <c r="E1033" s="561"/>
    </row>
    <row r="1034" spans="1:5" x14ac:dyDescent="0.2">
      <c r="A1034" s="560"/>
      <c r="B1034" s="560"/>
      <c r="C1034" s="560"/>
      <c r="D1034" s="569"/>
      <c r="E1034" s="561"/>
    </row>
    <row r="1035" spans="1:5" x14ac:dyDescent="0.2">
      <c r="A1035" s="563" t="s">
        <v>1080</v>
      </c>
      <c r="B1035" s="563"/>
      <c r="C1035" s="563"/>
      <c r="D1035" s="563"/>
      <c r="E1035" s="565">
        <f>(E1029-E1030-E1031)+(E1032+E1033+E1034)</f>
        <v>0</v>
      </c>
    </row>
    <row r="1036" spans="1:5" x14ac:dyDescent="0.2">
      <c r="A1036" s="566" t="s">
        <v>1081</v>
      </c>
      <c r="B1036" s="566"/>
      <c r="C1036" s="566"/>
      <c r="D1036" s="566"/>
      <c r="E1036" s="570">
        <f>E951+E958+E965+E972+E979+E986+E993+E1000+E1007+E1014+E1021+E1028</f>
        <v>154600</v>
      </c>
    </row>
    <row r="1037" spans="1:5" x14ac:dyDescent="0.2">
      <c r="A1037" s="560" t="s">
        <v>1021</v>
      </c>
      <c r="B1037" s="560" t="s">
        <v>1005</v>
      </c>
      <c r="C1037" s="560">
        <v>1000</v>
      </c>
      <c r="D1037" s="560">
        <v>6810</v>
      </c>
      <c r="E1037" s="561">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60" t="s">
        <v>1021</v>
      </c>
      <c r="B1038" s="560" t="s">
        <v>1005</v>
      </c>
      <c r="C1038" s="560">
        <v>2000</v>
      </c>
      <c r="D1038" s="560">
        <v>6810</v>
      </c>
      <c r="E1038" s="561">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0" t="s">
        <v>1021</v>
      </c>
      <c r="B1039" s="560" t="s">
        <v>1005</v>
      </c>
      <c r="C1039" s="560">
        <v>3000</v>
      </c>
      <c r="D1039" s="560">
        <v>6810</v>
      </c>
      <c r="E1039" s="561">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0" t="s">
        <v>1021</v>
      </c>
      <c r="B1040" s="562">
        <v>700</v>
      </c>
      <c r="C1040" s="560">
        <v>1000</v>
      </c>
      <c r="D1040" s="560">
        <v>6810</v>
      </c>
      <c r="E1040" s="561">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0" t="s">
        <v>1021</v>
      </c>
      <c r="B1041" s="562">
        <v>800</v>
      </c>
      <c r="C1041" s="560">
        <v>1000</v>
      </c>
      <c r="D1041" s="560">
        <v>6810</v>
      </c>
      <c r="E1041" s="561">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0" t="s">
        <v>1021</v>
      </c>
      <c r="B1042" s="562">
        <v>900</v>
      </c>
      <c r="C1042" s="560">
        <v>1000</v>
      </c>
      <c r="D1042" s="560">
        <v>6810</v>
      </c>
      <c r="E1042" s="561">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0" t="s">
        <v>1021</v>
      </c>
      <c r="B1043" s="562">
        <v>700</v>
      </c>
      <c r="C1043" s="560">
        <v>2000</v>
      </c>
      <c r="D1043" s="560">
        <v>6810</v>
      </c>
      <c r="E1043" s="561">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0" t="s">
        <v>1021</v>
      </c>
      <c r="B1044" s="562">
        <v>800</v>
      </c>
      <c r="C1044" s="560">
        <v>2000</v>
      </c>
      <c r="D1044" s="560">
        <v>6810</v>
      </c>
      <c r="E1044" s="561">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0" t="s">
        <v>1021</v>
      </c>
      <c r="B1045" s="562">
        <v>900</v>
      </c>
      <c r="C1045" s="560">
        <v>2000</v>
      </c>
      <c r="D1045" s="560">
        <v>6810</v>
      </c>
      <c r="E1045" s="561">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0" t="s">
        <v>1021</v>
      </c>
      <c r="B1046" s="562">
        <v>700</v>
      </c>
      <c r="C1046" s="560">
        <v>3000</v>
      </c>
      <c r="D1046" s="560">
        <v>6810</v>
      </c>
      <c r="E1046" s="561">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0" t="s">
        <v>1021</v>
      </c>
      <c r="B1047" s="562">
        <v>800</v>
      </c>
      <c r="C1047" s="560">
        <v>3000</v>
      </c>
      <c r="D1047" s="560">
        <v>6810</v>
      </c>
      <c r="E1047" s="561">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0" t="s">
        <v>1021</v>
      </c>
      <c r="B1048" s="562">
        <v>900</v>
      </c>
      <c r="C1048" s="560">
        <v>3000</v>
      </c>
      <c r="D1048" s="560">
        <v>6810</v>
      </c>
      <c r="E1048" s="561">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3" t="s">
        <v>1082</v>
      </c>
      <c r="B1049" s="563"/>
      <c r="C1049" s="563"/>
      <c r="D1049" s="563"/>
      <c r="E1049" s="565">
        <f>(E1037+E1038+E1039)-(E1040+E1041+E1042+E1043+E1044+E1045+E1046+E1047+E1048)</f>
        <v>0</v>
      </c>
    </row>
    <row r="1050" spans="1:5" x14ac:dyDescent="0.2">
      <c r="A1050" s="560" t="s">
        <v>1005</v>
      </c>
      <c r="B1050" s="560" t="s">
        <v>1005</v>
      </c>
      <c r="C1050" s="560">
        <v>2300</v>
      </c>
      <c r="D1050" s="569">
        <v>6820</v>
      </c>
      <c r="E1050" s="561">
        <f>SUMIFS('Accounting data'!$G$2:$G$37000,'Accounting data'!$J$2:$J$37000,"23*",'Accounting data'!$K$2:$K$37000,"682*")</f>
        <v>683</v>
      </c>
    </row>
    <row r="1051" spans="1:5" x14ac:dyDescent="0.2">
      <c r="A1051" s="560" t="s">
        <v>1006</v>
      </c>
      <c r="B1051" s="560" t="s">
        <v>1005</v>
      </c>
      <c r="C1051" s="560">
        <v>2300</v>
      </c>
      <c r="D1051" s="569">
        <v>6820</v>
      </c>
      <c r="E1051" s="561">
        <f>SUMIFS('Accounting data'!$G$2:$G$37000,'Accounting data'!$H$2:$H$37000,"9999*",'Accounting data'!$J$2:$J$37000,"23*",'Accounting data'!$K$2:$K$37000,"682*")</f>
        <v>0</v>
      </c>
    </row>
    <row r="1052" spans="1:5" x14ac:dyDescent="0.2">
      <c r="A1052" s="560" t="s">
        <v>1005</v>
      </c>
      <c r="B1052" s="560" t="s">
        <v>1007</v>
      </c>
      <c r="C1052" s="560">
        <v>2300</v>
      </c>
      <c r="D1052" s="569">
        <v>6820</v>
      </c>
      <c r="E1052" s="561">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2" t="s">
        <v>1006</v>
      </c>
      <c r="B1053" s="560" t="s">
        <v>1007</v>
      </c>
      <c r="C1053" s="560">
        <v>2300</v>
      </c>
      <c r="D1053" s="569">
        <v>6820</v>
      </c>
      <c r="E1053" s="561">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0"/>
      <c r="B1054" s="560"/>
      <c r="C1054" s="560"/>
      <c r="D1054" s="569"/>
      <c r="E1054" s="561"/>
    </row>
    <row r="1055" spans="1:5" x14ac:dyDescent="0.2">
      <c r="A1055" s="560"/>
      <c r="B1055" s="560"/>
      <c r="C1055" s="560"/>
      <c r="D1055" s="569"/>
      <c r="E1055" s="561"/>
    </row>
    <row r="1056" spans="1:5" x14ac:dyDescent="0.2">
      <c r="A1056" s="563" t="s">
        <v>1083</v>
      </c>
      <c r="B1056" s="563"/>
      <c r="C1056" s="569"/>
      <c r="D1056" s="563"/>
      <c r="E1056" s="565">
        <f>(E1050-E1051-E1052)+(E1053+E1054+E1055)</f>
        <v>683</v>
      </c>
    </row>
    <row r="1057" spans="1:5" x14ac:dyDescent="0.2">
      <c r="A1057" s="560" t="s">
        <v>1021</v>
      </c>
      <c r="B1057" s="560" t="s">
        <v>1005</v>
      </c>
      <c r="C1057" s="560">
        <v>2300</v>
      </c>
      <c r="D1057" s="560">
        <v>6820</v>
      </c>
      <c r="E1057" s="561">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0" t="s">
        <v>1021</v>
      </c>
      <c r="B1058" s="562">
        <v>700</v>
      </c>
      <c r="C1058" s="560">
        <v>2300</v>
      </c>
      <c r="D1058" s="560">
        <v>6820</v>
      </c>
      <c r="E1058" s="561">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0" t="s">
        <v>1021</v>
      </c>
      <c r="B1059" s="562">
        <v>800</v>
      </c>
      <c r="C1059" s="560">
        <v>2300</v>
      </c>
      <c r="D1059" s="560">
        <v>6820</v>
      </c>
      <c r="E1059" s="561">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0" t="s">
        <v>1021</v>
      </c>
      <c r="B1060" s="562">
        <v>900</v>
      </c>
      <c r="C1060" s="560">
        <v>2300</v>
      </c>
      <c r="D1060" s="560">
        <v>6820</v>
      </c>
      <c r="E1060" s="561">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3" t="s">
        <v>1084</v>
      </c>
      <c r="B1061" s="563"/>
      <c r="C1061" s="563"/>
      <c r="D1061" s="563"/>
      <c r="E1061" s="565">
        <f>E1057-E1058-E1059-E1060</f>
        <v>0</v>
      </c>
    </row>
    <row r="1062" spans="1:5" x14ac:dyDescent="0.2">
      <c r="A1062" s="560"/>
      <c r="B1062" s="560"/>
      <c r="C1062" s="560"/>
      <c r="D1062" s="560"/>
      <c r="E1062" s="561"/>
    </row>
    <row r="1063" spans="1:5" x14ac:dyDescent="0.2">
      <c r="A1063" s="560"/>
      <c r="B1063" s="560"/>
      <c r="C1063" s="560"/>
      <c r="D1063" s="560"/>
      <c r="E1063" s="561"/>
    </row>
    <row r="1064" spans="1:5" x14ac:dyDescent="0.2">
      <c r="A1064" s="560"/>
      <c r="B1064" s="560"/>
      <c r="C1064" s="560"/>
      <c r="D1064" s="560"/>
      <c r="E1064" s="561"/>
    </row>
    <row r="1065" spans="1:5" x14ac:dyDescent="0.2">
      <c r="A1065" s="562"/>
      <c r="B1065" s="560"/>
      <c r="C1065" s="560"/>
      <c r="D1065" s="560"/>
      <c r="E1065" s="561"/>
    </row>
    <row r="1066" spans="1:5" x14ac:dyDescent="0.2">
      <c r="A1066" s="560"/>
      <c r="B1066" s="560"/>
      <c r="C1066" s="560"/>
      <c r="D1066" s="560"/>
      <c r="E1066" s="561"/>
    </row>
    <row r="1067" spans="1:5" x14ac:dyDescent="0.2">
      <c r="A1067" s="560"/>
      <c r="B1067" s="560"/>
      <c r="C1067" s="560"/>
      <c r="D1067" s="560"/>
      <c r="E1067" s="561"/>
    </row>
    <row r="1068" spans="1:5" x14ac:dyDescent="0.2">
      <c r="A1068" s="563"/>
      <c r="B1068" s="563"/>
      <c r="C1068" s="563"/>
      <c r="D1068" s="563"/>
      <c r="E1068" s="565"/>
    </row>
    <row r="1069" spans="1:5" x14ac:dyDescent="0.2">
      <c r="A1069" s="560"/>
      <c r="B1069" s="560"/>
      <c r="C1069" s="560"/>
      <c r="D1069" s="560"/>
      <c r="E1069" s="561"/>
    </row>
    <row r="1070" spans="1:5" x14ac:dyDescent="0.2">
      <c r="A1070" s="560"/>
      <c r="B1070" s="560"/>
      <c r="C1070" s="560"/>
      <c r="D1070" s="560"/>
      <c r="E1070" s="561"/>
    </row>
    <row r="1071" spans="1:5" x14ac:dyDescent="0.2">
      <c r="A1071" s="560"/>
      <c r="B1071" s="560"/>
      <c r="C1071" s="560"/>
      <c r="D1071" s="560"/>
      <c r="E1071" s="561"/>
    </row>
    <row r="1072" spans="1:5" x14ac:dyDescent="0.2">
      <c r="A1072" s="562"/>
      <c r="B1072" s="560"/>
      <c r="C1072" s="560"/>
      <c r="D1072" s="560"/>
      <c r="E1072" s="561"/>
    </row>
    <row r="1073" spans="1:5" x14ac:dyDescent="0.2">
      <c r="A1073" s="560"/>
      <c r="B1073" s="560"/>
      <c r="C1073" s="560"/>
      <c r="D1073" s="560"/>
      <c r="E1073" s="561"/>
    </row>
    <row r="1074" spans="1:5" x14ac:dyDescent="0.2">
      <c r="A1074" s="560"/>
      <c r="B1074" s="560"/>
      <c r="C1074" s="560"/>
      <c r="D1074" s="560"/>
      <c r="E1074" s="561"/>
    </row>
    <row r="1075" spans="1:5" x14ac:dyDescent="0.2">
      <c r="A1075" s="563"/>
      <c r="B1075" s="563"/>
      <c r="C1075" s="563"/>
      <c r="D1075" s="563"/>
      <c r="E1075" s="565"/>
    </row>
    <row r="1076" spans="1:5" x14ac:dyDescent="0.2">
      <c r="A1076" s="560" t="s">
        <v>1005</v>
      </c>
      <c r="B1076" s="560" t="s">
        <v>1005</v>
      </c>
      <c r="C1076" s="560">
        <v>2500</v>
      </c>
      <c r="D1076" s="569">
        <v>6850</v>
      </c>
      <c r="E1076" s="561">
        <f>SUMIFS('Accounting data'!$G$2:$G$37000,'Accounting data'!$J$2:$J$37000,"25*",'Accounting data'!$K$2:$K$37000,"685*")</f>
        <v>0</v>
      </c>
    </row>
    <row r="1077" spans="1:5" x14ac:dyDescent="0.2">
      <c r="A1077" s="560" t="s">
        <v>1006</v>
      </c>
      <c r="B1077" s="560" t="s">
        <v>1005</v>
      </c>
      <c r="C1077" s="560">
        <v>2500</v>
      </c>
      <c r="D1077" s="569">
        <v>6850</v>
      </c>
      <c r="E1077" s="561">
        <f>SUMIFS('Accounting data'!$G$2:$G$37000,'Accounting data'!$H$2:$H$37000,"9999*",'Accounting data'!$J$2:$J$37000,"25*",'Accounting data'!$K$2:$K$37000,"685*")</f>
        <v>0</v>
      </c>
    </row>
    <row r="1078" spans="1:5" x14ac:dyDescent="0.2">
      <c r="A1078" s="560" t="s">
        <v>1005</v>
      </c>
      <c r="B1078" s="560" t="s">
        <v>1007</v>
      </c>
      <c r="C1078" s="560">
        <v>2500</v>
      </c>
      <c r="D1078" s="569">
        <v>6850</v>
      </c>
      <c r="E1078" s="561">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2" t="s">
        <v>1006</v>
      </c>
      <c r="B1079" s="560" t="s">
        <v>1007</v>
      </c>
      <c r="C1079" s="560">
        <v>2500</v>
      </c>
      <c r="D1079" s="569">
        <v>6850</v>
      </c>
      <c r="E1079" s="561">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0"/>
      <c r="B1080" s="560"/>
      <c r="C1080" s="560"/>
      <c r="D1080" s="569"/>
      <c r="E1080" s="561"/>
    </row>
    <row r="1081" spans="1:5" x14ac:dyDescent="0.2">
      <c r="A1081" s="560"/>
      <c r="B1081" s="560"/>
      <c r="C1081" s="560"/>
      <c r="D1081" s="569"/>
      <c r="E1081" s="561"/>
    </row>
    <row r="1082" spans="1:5" x14ac:dyDescent="0.2">
      <c r="A1082" s="563" t="s">
        <v>1085</v>
      </c>
      <c r="B1082" s="563"/>
      <c r="C1082" s="563"/>
      <c r="D1082" s="563"/>
      <c r="E1082" s="565">
        <f>(E1076-E1077-E1078)+(E1079+E1080+E1081)</f>
        <v>0</v>
      </c>
    </row>
    <row r="1083" spans="1:5" x14ac:dyDescent="0.2">
      <c r="A1083" s="560"/>
      <c r="B1083" s="560"/>
      <c r="C1083" s="560"/>
      <c r="D1083" s="569"/>
      <c r="E1083" s="561"/>
    </row>
    <row r="1084" spans="1:5" x14ac:dyDescent="0.2">
      <c r="A1084" s="560"/>
      <c r="B1084" s="560"/>
      <c r="C1084" s="560"/>
      <c r="D1084" s="569"/>
      <c r="E1084" s="561"/>
    </row>
    <row r="1085" spans="1:5" x14ac:dyDescent="0.2">
      <c r="A1085" s="560"/>
      <c r="B1085" s="560"/>
      <c r="C1085" s="560"/>
      <c r="D1085" s="569"/>
      <c r="E1085" s="561"/>
    </row>
    <row r="1086" spans="1:5" x14ac:dyDescent="0.2">
      <c r="A1086" s="562"/>
      <c r="B1086" s="560"/>
      <c r="C1086" s="560"/>
      <c r="D1086" s="569"/>
      <c r="E1086" s="561"/>
    </row>
    <row r="1087" spans="1:5" x14ac:dyDescent="0.2">
      <c r="A1087" s="560"/>
      <c r="B1087" s="560"/>
      <c r="C1087" s="560"/>
      <c r="D1087" s="569"/>
      <c r="E1087" s="561"/>
    </row>
    <row r="1088" spans="1:5" x14ac:dyDescent="0.2">
      <c r="A1088" s="560"/>
      <c r="B1088" s="560"/>
      <c r="C1088" s="560"/>
      <c r="D1088" s="569"/>
      <c r="E1088" s="561"/>
    </row>
    <row r="1089" spans="1:5" x14ac:dyDescent="0.2">
      <c r="A1089" s="563"/>
      <c r="B1089" s="563"/>
      <c r="C1089" s="563"/>
      <c r="D1089" s="563"/>
      <c r="E1089" s="565"/>
    </row>
    <row r="1090" spans="1:5" x14ac:dyDescent="0.2">
      <c r="A1090" s="560"/>
      <c r="B1090" s="560"/>
      <c r="C1090" s="560"/>
      <c r="D1090" s="569"/>
      <c r="E1090" s="561"/>
    </row>
    <row r="1091" spans="1:5" x14ac:dyDescent="0.2">
      <c r="A1091" s="560"/>
      <c r="B1091" s="560"/>
      <c r="C1091" s="560"/>
      <c r="D1091" s="569"/>
      <c r="E1091" s="561"/>
    </row>
    <row r="1092" spans="1:5" x14ac:dyDescent="0.2">
      <c r="A1092" s="560"/>
      <c r="B1092" s="560"/>
      <c r="C1092" s="560"/>
      <c r="D1092" s="569"/>
      <c r="E1092" s="561"/>
    </row>
    <row r="1093" spans="1:5" x14ac:dyDescent="0.2">
      <c r="A1093" s="562"/>
      <c r="B1093" s="560"/>
      <c r="C1093" s="560"/>
      <c r="D1093" s="569"/>
      <c r="E1093" s="561"/>
    </row>
    <row r="1094" spans="1:5" x14ac:dyDescent="0.2">
      <c r="A1094" s="560"/>
      <c r="B1094" s="560"/>
      <c r="C1094" s="560"/>
      <c r="D1094" s="569"/>
      <c r="E1094" s="561"/>
    </row>
    <row r="1095" spans="1:5" x14ac:dyDescent="0.2">
      <c r="A1095" s="560"/>
      <c r="B1095" s="560"/>
      <c r="C1095" s="560"/>
      <c r="D1095" s="569"/>
      <c r="E1095" s="561"/>
    </row>
    <row r="1096" spans="1:5" x14ac:dyDescent="0.2">
      <c r="A1096" s="563"/>
      <c r="B1096" s="563"/>
      <c r="C1096" s="563"/>
      <c r="D1096" s="563"/>
      <c r="E1096" s="565"/>
    </row>
    <row r="1097" spans="1:5" x14ac:dyDescent="0.2">
      <c r="A1097" s="560"/>
      <c r="B1097" s="560"/>
      <c r="C1097" s="560"/>
      <c r="D1097" s="569"/>
      <c r="E1097" s="561"/>
    </row>
    <row r="1098" spans="1:5" x14ac:dyDescent="0.2">
      <c r="A1098" s="560"/>
      <c r="B1098" s="560"/>
      <c r="C1098" s="560"/>
      <c r="D1098" s="569"/>
      <c r="E1098" s="561"/>
    </row>
    <row r="1099" spans="1:5" x14ac:dyDescent="0.2">
      <c r="A1099" s="560"/>
      <c r="B1099" s="560"/>
      <c r="C1099" s="560"/>
      <c r="D1099" s="569"/>
      <c r="E1099" s="561"/>
    </row>
    <row r="1100" spans="1:5" x14ac:dyDescent="0.2">
      <c r="A1100" s="562"/>
      <c r="B1100" s="560"/>
      <c r="C1100" s="560"/>
      <c r="D1100" s="569"/>
      <c r="E1100" s="561"/>
    </row>
    <row r="1101" spans="1:5" x14ac:dyDescent="0.2">
      <c r="A1101" s="560"/>
      <c r="B1101" s="560"/>
      <c r="C1101" s="560"/>
      <c r="D1101" s="569"/>
      <c r="E1101" s="561"/>
    </row>
    <row r="1102" spans="1:5" x14ac:dyDescent="0.2">
      <c r="A1102" s="560"/>
      <c r="B1102" s="560"/>
      <c r="C1102" s="560"/>
      <c r="D1102" s="569"/>
      <c r="E1102" s="561"/>
    </row>
    <row r="1103" spans="1:5" x14ac:dyDescent="0.2">
      <c r="A1103" s="563"/>
      <c r="B1103" s="563"/>
      <c r="C1103" s="563"/>
      <c r="D1103" s="563"/>
      <c r="E1103" s="565"/>
    </row>
    <row r="1104" spans="1:5" x14ac:dyDescent="0.2">
      <c r="A1104" s="563"/>
      <c r="B1104" s="563"/>
      <c r="C1104" s="563"/>
      <c r="D1104" s="563"/>
      <c r="E1104" s="565"/>
    </row>
    <row r="1105" spans="1:5" x14ac:dyDescent="0.2">
      <c r="A1105" s="560" t="s">
        <v>1021</v>
      </c>
      <c r="B1105" s="560" t="s">
        <v>1005</v>
      </c>
      <c r="C1105" s="569">
        <v>2500</v>
      </c>
      <c r="D1105" s="560">
        <v>6850</v>
      </c>
      <c r="E1105" s="561">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0" t="s">
        <v>1021</v>
      </c>
      <c r="B1106" s="562">
        <v>700</v>
      </c>
      <c r="C1106" s="560">
        <v>2500</v>
      </c>
      <c r="D1106" s="560">
        <v>6850</v>
      </c>
      <c r="E1106" s="561">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0" t="s">
        <v>1021</v>
      </c>
      <c r="B1107" s="562">
        <v>800</v>
      </c>
      <c r="C1107" s="560">
        <v>2500</v>
      </c>
      <c r="D1107" s="560">
        <v>6850</v>
      </c>
      <c r="E1107" s="561">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0" t="s">
        <v>1021</v>
      </c>
      <c r="B1108" s="562">
        <v>900</v>
      </c>
      <c r="C1108" s="560">
        <v>2500</v>
      </c>
      <c r="D1108" s="560">
        <v>6850</v>
      </c>
      <c r="E1108" s="561">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3" t="s">
        <v>1086</v>
      </c>
      <c r="B1109" s="563"/>
      <c r="C1109" s="563"/>
      <c r="D1109" s="563"/>
      <c r="E1109" s="565">
        <f>E1105-(E1106+E1107+E1108)</f>
        <v>0</v>
      </c>
    </row>
    <row r="1110" spans="1:5" x14ac:dyDescent="0.2">
      <c r="A1110" s="560" t="s">
        <v>1005</v>
      </c>
      <c r="B1110" s="560" t="s">
        <v>1005</v>
      </c>
      <c r="C1110" s="560">
        <v>1000</v>
      </c>
      <c r="D1110" s="569">
        <v>6890</v>
      </c>
      <c r="E1110" s="561">
        <f>SUMIFS('Accounting data'!$G$2:$G$37000,'Accounting data'!$J$2:$J$37000,"1*",'Accounting data'!$K$2:$K$37000,"689*")</f>
        <v>648</v>
      </c>
    </row>
    <row r="1111" spans="1:5" x14ac:dyDescent="0.2">
      <c r="A1111" s="560" t="s">
        <v>1006</v>
      </c>
      <c r="B1111" s="560" t="s">
        <v>1005</v>
      </c>
      <c r="C1111" s="560">
        <v>1000</v>
      </c>
      <c r="D1111" s="569">
        <v>6890</v>
      </c>
      <c r="E1111" s="561">
        <f>SUMIFS('Accounting data'!$G$2:$G$37000,'Accounting data'!$H$2:$H$37000,"9999*",'Accounting data'!$J$2:$J$37000,"1*",'Accounting data'!$K$2:$K$37000,"689*")</f>
        <v>0</v>
      </c>
    </row>
    <row r="1112" spans="1:5" x14ac:dyDescent="0.2">
      <c r="A1112" s="560" t="s">
        <v>1005</v>
      </c>
      <c r="B1112" s="560" t="s">
        <v>1007</v>
      </c>
      <c r="C1112" s="560">
        <v>1000</v>
      </c>
      <c r="D1112" s="569">
        <v>6890</v>
      </c>
      <c r="E1112" s="561">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2" t="s">
        <v>1006</v>
      </c>
      <c r="B1113" s="560" t="s">
        <v>1007</v>
      </c>
      <c r="C1113" s="560">
        <v>1000</v>
      </c>
      <c r="D1113" s="569">
        <v>6890</v>
      </c>
      <c r="E1113" s="561">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0"/>
      <c r="B1114" s="560"/>
      <c r="C1114" s="560"/>
      <c r="D1114" s="569"/>
      <c r="E1114" s="561"/>
    </row>
    <row r="1115" spans="1:5" x14ac:dyDescent="0.2">
      <c r="A1115" s="560"/>
      <c r="B1115" s="560"/>
      <c r="C1115" s="560"/>
      <c r="D1115" s="569"/>
      <c r="E1115" s="561"/>
    </row>
    <row r="1116" spans="1:5" x14ac:dyDescent="0.2">
      <c r="A1116" s="563" t="s">
        <v>1087</v>
      </c>
      <c r="B1116" s="563"/>
      <c r="C1116" s="563"/>
      <c r="D1116" s="563"/>
      <c r="E1116" s="565">
        <f>(E1110-E1111-E1112)+(E1113+E1114+E1115)</f>
        <v>648</v>
      </c>
    </row>
    <row r="1117" spans="1:5" x14ac:dyDescent="0.2">
      <c r="A1117" s="560" t="s">
        <v>1005</v>
      </c>
      <c r="B1117" s="560" t="s">
        <v>1005</v>
      </c>
      <c r="C1117" s="560">
        <v>2100</v>
      </c>
      <c r="D1117" s="569">
        <v>6890</v>
      </c>
      <c r="E1117" s="561">
        <f>SUMIFS('Accounting data'!$G$2:$G$37000,'Accounting data'!$J$2:$J$37000,"21*",'Accounting data'!$K$2:$K$37000,"689*")</f>
        <v>0</v>
      </c>
    </row>
    <row r="1118" spans="1:5" x14ac:dyDescent="0.2">
      <c r="A1118" s="560" t="s">
        <v>1006</v>
      </c>
      <c r="B1118" s="560" t="s">
        <v>1005</v>
      </c>
      <c r="C1118" s="560">
        <v>2100</v>
      </c>
      <c r="D1118" s="569">
        <v>6890</v>
      </c>
      <c r="E1118" s="561">
        <f>SUMIFS('Accounting data'!$G$2:$G$37000,'Accounting data'!$H$2:$H$37000,"9999*",'Accounting data'!$J$2:$J$37000,"21*",'Accounting data'!$K$2:$K$37000,"689*")</f>
        <v>0</v>
      </c>
    </row>
    <row r="1119" spans="1:5" x14ac:dyDescent="0.2">
      <c r="A1119" s="560" t="s">
        <v>1005</v>
      </c>
      <c r="B1119" s="560" t="s">
        <v>1007</v>
      </c>
      <c r="C1119" s="560">
        <v>2100</v>
      </c>
      <c r="D1119" s="569">
        <v>6890</v>
      </c>
      <c r="E1119" s="56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2" t="s">
        <v>1006</v>
      </c>
      <c r="B1120" s="560" t="s">
        <v>1007</v>
      </c>
      <c r="C1120" s="560">
        <v>2100</v>
      </c>
      <c r="D1120" s="569">
        <v>6890</v>
      </c>
      <c r="E1120" s="56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0"/>
      <c r="B1121" s="560"/>
      <c r="C1121" s="560"/>
      <c r="D1121" s="569"/>
      <c r="E1121" s="561"/>
    </row>
    <row r="1122" spans="1:5" x14ac:dyDescent="0.2">
      <c r="A1122" s="560"/>
      <c r="B1122" s="560"/>
      <c r="C1122" s="560"/>
      <c r="D1122" s="569"/>
      <c r="E1122" s="561"/>
    </row>
    <row r="1123" spans="1:5" x14ac:dyDescent="0.2">
      <c r="A1123" s="563" t="s">
        <v>1088</v>
      </c>
      <c r="B1123" s="563"/>
      <c r="C1123" s="563"/>
      <c r="D1123" s="563"/>
      <c r="E1123" s="565">
        <f>(E1117-E1118-E1119)+(E1120+E1121+E1122)</f>
        <v>0</v>
      </c>
    </row>
    <row r="1124" spans="1:5" x14ac:dyDescent="0.2">
      <c r="A1124" s="560" t="s">
        <v>1005</v>
      </c>
      <c r="B1124" s="560" t="s">
        <v>1005</v>
      </c>
      <c r="C1124" s="560">
        <v>2200</v>
      </c>
      <c r="D1124" s="569">
        <v>6890</v>
      </c>
      <c r="E1124" s="561">
        <f>SUMIFS('Accounting data'!$G$2:$G$37000,'Accounting data'!$J$2:$J$37000,"22*",'Accounting data'!$K$2:$K$37000,"689*")</f>
        <v>0</v>
      </c>
    </row>
    <row r="1125" spans="1:5" x14ac:dyDescent="0.2">
      <c r="A1125" s="560" t="s">
        <v>1006</v>
      </c>
      <c r="B1125" s="560" t="s">
        <v>1005</v>
      </c>
      <c r="C1125" s="560">
        <v>2200</v>
      </c>
      <c r="D1125" s="569">
        <v>6890</v>
      </c>
      <c r="E1125" s="561">
        <f>SUMIFS('Accounting data'!$G$2:$G$37000,'Accounting data'!$H$2:$H$37000,"9999*",'Accounting data'!$J$2:$J$37000,"22*",'Accounting data'!$K$2:$K$37000,"689*")</f>
        <v>0</v>
      </c>
    </row>
    <row r="1126" spans="1:5" x14ac:dyDescent="0.2">
      <c r="A1126" s="560" t="s">
        <v>1005</v>
      </c>
      <c r="B1126" s="560" t="s">
        <v>1007</v>
      </c>
      <c r="C1126" s="560">
        <v>2200</v>
      </c>
      <c r="D1126" s="569">
        <v>6890</v>
      </c>
      <c r="E1126" s="561">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2" t="s">
        <v>1006</v>
      </c>
      <c r="B1127" s="560" t="s">
        <v>1007</v>
      </c>
      <c r="C1127" s="560">
        <v>2200</v>
      </c>
      <c r="D1127" s="569">
        <v>6890</v>
      </c>
      <c r="E1127" s="561">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0"/>
      <c r="B1128" s="560"/>
      <c r="C1128" s="560"/>
      <c r="D1128" s="569"/>
      <c r="E1128" s="561"/>
    </row>
    <row r="1129" spans="1:5" x14ac:dyDescent="0.2">
      <c r="A1129" s="560"/>
      <c r="B1129" s="560"/>
      <c r="C1129" s="560"/>
      <c r="D1129" s="569"/>
      <c r="E1129" s="561"/>
    </row>
    <row r="1130" spans="1:5" x14ac:dyDescent="0.2">
      <c r="A1130" s="563" t="s">
        <v>1089</v>
      </c>
      <c r="B1130" s="563"/>
      <c r="C1130" s="563"/>
      <c r="D1130" s="563"/>
      <c r="E1130" s="565">
        <f>(E1124-E1125-E1126)+(E1127+E1128+E1129)</f>
        <v>0</v>
      </c>
    </row>
    <row r="1131" spans="1:5" x14ac:dyDescent="0.2">
      <c r="A1131" s="560" t="s">
        <v>1005</v>
      </c>
      <c r="B1131" s="560" t="s">
        <v>1005</v>
      </c>
      <c r="C1131" s="560">
        <v>2300</v>
      </c>
      <c r="D1131" s="569">
        <v>6890</v>
      </c>
      <c r="E1131" s="561">
        <f>SUMIFS('Accounting data'!$G$2:$G$37000,'Accounting data'!$J$2:$J$37000,"23*",'Accounting data'!$K$2:$K$37000,"689*")</f>
        <v>0</v>
      </c>
    </row>
    <row r="1132" spans="1:5" x14ac:dyDescent="0.2">
      <c r="A1132" s="560" t="s">
        <v>1006</v>
      </c>
      <c r="B1132" s="560" t="s">
        <v>1005</v>
      </c>
      <c r="C1132" s="560">
        <v>2300</v>
      </c>
      <c r="D1132" s="569">
        <v>6890</v>
      </c>
      <c r="E1132" s="561">
        <f>SUMIFS('Accounting data'!$G$2:$G$37000,'Accounting data'!$H$2:$H$37000,"9999*",'Accounting data'!$J$2:$J$37000,"23*",'Accounting data'!$K$2:$K$37000,"689*")</f>
        <v>0</v>
      </c>
    </row>
    <row r="1133" spans="1:5" x14ac:dyDescent="0.2">
      <c r="A1133" s="560" t="s">
        <v>1005</v>
      </c>
      <c r="B1133" s="560" t="s">
        <v>1007</v>
      </c>
      <c r="C1133" s="560">
        <v>2300</v>
      </c>
      <c r="D1133" s="569">
        <v>6890</v>
      </c>
      <c r="E1133" s="561">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2" t="s">
        <v>1006</v>
      </c>
      <c r="B1134" s="560" t="s">
        <v>1007</v>
      </c>
      <c r="C1134" s="560">
        <v>2300</v>
      </c>
      <c r="D1134" s="569">
        <v>6890</v>
      </c>
      <c r="E1134" s="561">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0"/>
      <c r="B1135" s="560"/>
      <c r="C1135" s="560"/>
      <c r="D1135" s="569"/>
      <c r="E1135" s="561"/>
    </row>
    <row r="1136" spans="1:5" x14ac:dyDescent="0.2">
      <c r="A1136" s="560"/>
      <c r="B1136" s="560"/>
      <c r="C1136" s="560"/>
      <c r="D1136" s="569"/>
      <c r="E1136" s="561"/>
    </row>
    <row r="1137" spans="1:5" x14ac:dyDescent="0.2">
      <c r="A1137" s="563" t="s">
        <v>1090</v>
      </c>
      <c r="B1137" s="563"/>
      <c r="C1137" s="563"/>
      <c r="D1137" s="563"/>
      <c r="E1137" s="565">
        <f>(E1131-E1132-E1133)+(E1134+E1135+E1136)</f>
        <v>0</v>
      </c>
    </row>
    <row r="1138" spans="1:5" x14ac:dyDescent="0.2">
      <c r="A1138" s="560" t="s">
        <v>1005</v>
      </c>
      <c r="B1138" s="560" t="s">
        <v>1005</v>
      </c>
      <c r="C1138" s="560">
        <v>2400</v>
      </c>
      <c r="D1138" s="569">
        <v>6890</v>
      </c>
      <c r="E1138" s="561">
        <f>SUMIFS('Accounting data'!$G$2:$G$37000,'Accounting data'!$J$2:$J$37000,"24*",'Accounting data'!$K$2:$K$37000,"689*")</f>
        <v>0</v>
      </c>
    </row>
    <row r="1139" spans="1:5" x14ac:dyDescent="0.2">
      <c r="A1139" s="560" t="s">
        <v>1006</v>
      </c>
      <c r="B1139" s="560" t="s">
        <v>1005</v>
      </c>
      <c r="C1139" s="560">
        <v>2400</v>
      </c>
      <c r="D1139" s="569">
        <v>6890</v>
      </c>
      <c r="E1139" s="561">
        <f>SUMIFS('Accounting data'!$G$2:$G$37000,'Accounting data'!$H$2:$H$37000,"9999*",'Accounting data'!$J$2:$J$37000,"24*",'Accounting data'!$K$2:$K$37000,"689*")</f>
        <v>0</v>
      </c>
    </row>
    <row r="1140" spans="1:5" x14ac:dyDescent="0.2">
      <c r="A1140" s="560" t="s">
        <v>1005</v>
      </c>
      <c r="B1140" s="560" t="s">
        <v>1007</v>
      </c>
      <c r="C1140" s="560">
        <v>2400</v>
      </c>
      <c r="D1140" s="569">
        <v>6890</v>
      </c>
      <c r="E1140" s="561">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2" t="s">
        <v>1006</v>
      </c>
      <c r="B1141" s="560" t="s">
        <v>1007</v>
      </c>
      <c r="C1141" s="560">
        <v>2400</v>
      </c>
      <c r="D1141" s="569">
        <v>6890</v>
      </c>
      <c r="E1141" s="561">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0"/>
      <c r="B1142" s="560"/>
      <c r="C1142" s="560"/>
      <c r="D1142" s="569"/>
      <c r="E1142" s="561"/>
    </row>
    <row r="1143" spans="1:5" x14ac:dyDescent="0.2">
      <c r="A1143" s="560"/>
      <c r="B1143" s="560"/>
      <c r="C1143" s="560"/>
      <c r="D1143" s="569"/>
      <c r="E1143" s="561"/>
    </row>
    <row r="1144" spans="1:5" x14ac:dyDescent="0.2">
      <c r="A1144" s="563" t="s">
        <v>1091</v>
      </c>
      <c r="B1144" s="563"/>
      <c r="C1144" s="563"/>
      <c r="D1144" s="563"/>
      <c r="E1144" s="565">
        <f>(E1138-E1139-E1140)+(E1141+E1142+E1143)</f>
        <v>0</v>
      </c>
    </row>
    <row r="1145" spans="1:5" x14ac:dyDescent="0.2">
      <c r="A1145" s="560" t="s">
        <v>1005</v>
      </c>
      <c r="B1145" s="560" t="s">
        <v>1005</v>
      </c>
      <c r="C1145" s="560">
        <v>2500</v>
      </c>
      <c r="D1145" s="569">
        <v>6890</v>
      </c>
      <c r="E1145" s="561">
        <f>SUMIFS('Accounting data'!$G$2:$G$37000,'Accounting data'!$J$2:$J$37000,"25*",'Accounting data'!$K$2:$K$37000,"689*")</f>
        <v>1501</v>
      </c>
    </row>
    <row r="1146" spans="1:5" x14ac:dyDescent="0.2">
      <c r="A1146" s="560" t="s">
        <v>1006</v>
      </c>
      <c r="B1146" s="560" t="s">
        <v>1005</v>
      </c>
      <c r="C1146" s="560">
        <v>2500</v>
      </c>
      <c r="D1146" s="569">
        <v>6890</v>
      </c>
      <c r="E1146" s="561">
        <f>SUMIFS('Accounting data'!$G$2:$G$37000,'Accounting data'!$H$2:$H$37000,"9999*",'Accounting data'!$J$2:$J$37000,"25*",'Accounting data'!$K$2:$K$37000,"689*")</f>
        <v>0</v>
      </c>
    </row>
    <row r="1147" spans="1:5" x14ac:dyDescent="0.2">
      <c r="A1147" s="560" t="s">
        <v>1005</v>
      </c>
      <c r="B1147" s="560" t="s">
        <v>1007</v>
      </c>
      <c r="C1147" s="560">
        <v>2500</v>
      </c>
      <c r="D1147" s="569">
        <v>6890</v>
      </c>
      <c r="E1147" s="561">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2" t="s">
        <v>1006</v>
      </c>
      <c r="B1148" s="560" t="s">
        <v>1007</v>
      </c>
      <c r="C1148" s="560">
        <v>2500</v>
      </c>
      <c r="D1148" s="569">
        <v>6890</v>
      </c>
      <c r="E1148" s="561">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0"/>
      <c r="B1149" s="560"/>
      <c r="C1149" s="560"/>
      <c r="D1149" s="569"/>
      <c r="E1149" s="561"/>
    </row>
    <row r="1150" spans="1:5" x14ac:dyDescent="0.2">
      <c r="A1150" s="560"/>
      <c r="B1150" s="560"/>
      <c r="C1150" s="560"/>
      <c r="D1150" s="569"/>
      <c r="E1150" s="561"/>
    </row>
    <row r="1151" spans="1:5" x14ac:dyDescent="0.2">
      <c r="A1151" s="563" t="s">
        <v>1092</v>
      </c>
      <c r="B1151" s="563"/>
      <c r="C1151" s="563"/>
      <c r="D1151" s="563"/>
      <c r="E1151" s="565">
        <f>(E1145-E1146-E1147)+(E1148+E1149+E1150)</f>
        <v>1501</v>
      </c>
    </row>
    <row r="1152" spans="1:5" x14ac:dyDescent="0.2">
      <c r="A1152" s="560" t="s">
        <v>1005</v>
      </c>
      <c r="B1152" s="560" t="s">
        <v>1005</v>
      </c>
      <c r="C1152" s="560">
        <v>2900</v>
      </c>
      <c r="D1152" s="569">
        <v>6890</v>
      </c>
      <c r="E1152" s="561">
        <f>SUMIFS('Accounting data'!$G$2:$G$37000,'Accounting data'!$J$2:$J$37000,"29*",'Accounting data'!$K$2:$K$37000,"689*")</f>
        <v>0</v>
      </c>
    </row>
    <row r="1153" spans="1:5" x14ac:dyDescent="0.2">
      <c r="A1153" s="560" t="s">
        <v>1006</v>
      </c>
      <c r="B1153" s="560" t="s">
        <v>1005</v>
      </c>
      <c r="C1153" s="560">
        <v>2900</v>
      </c>
      <c r="D1153" s="569">
        <v>6890</v>
      </c>
      <c r="E1153" s="561">
        <f>SUMIFS('Accounting data'!$G$2:$G$37000,'Accounting data'!$H$2:$H$37000,"9999*",'Accounting data'!$J$2:$J$37000,"29*",'Accounting data'!$K$2:$K$37000,"689*")</f>
        <v>0</v>
      </c>
    </row>
    <row r="1154" spans="1:5" x14ac:dyDescent="0.2">
      <c r="A1154" s="560" t="s">
        <v>1005</v>
      </c>
      <c r="B1154" s="560" t="s">
        <v>1007</v>
      </c>
      <c r="C1154" s="560">
        <v>2900</v>
      </c>
      <c r="D1154" s="569">
        <v>6890</v>
      </c>
      <c r="E1154" s="561">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2" t="s">
        <v>1006</v>
      </c>
      <c r="B1155" s="560" t="s">
        <v>1007</v>
      </c>
      <c r="C1155" s="560">
        <v>2900</v>
      </c>
      <c r="D1155" s="569">
        <v>6890</v>
      </c>
      <c r="E1155" s="561">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0"/>
      <c r="B1156" s="560"/>
      <c r="C1156" s="560"/>
      <c r="D1156" s="569"/>
      <c r="E1156" s="561"/>
    </row>
    <row r="1157" spans="1:5" x14ac:dyDescent="0.2">
      <c r="A1157" s="560"/>
      <c r="B1157" s="560"/>
      <c r="C1157" s="560"/>
      <c r="D1157" s="569"/>
      <c r="E1157" s="561"/>
    </row>
    <row r="1158" spans="1:5" x14ac:dyDescent="0.2">
      <c r="A1158" s="563" t="s">
        <v>1093</v>
      </c>
      <c r="B1158" s="563"/>
      <c r="C1158" s="563"/>
      <c r="D1158" s="563"/>
      <c r="E1158" s="565">
        <f>(E1152-E1153-E1154)+(E1155+E1156+E1157)</f>
        <v>0</v>
      </c>
    </row>
    <row r="1159" spans="1:5" x14ac:dyDescent="0.2">
      <c r="A1159" s="560" t="s">
        <v>1005</v>
      </c>
      <c r="B1159" s="560" t="s">
        <v>1005</v>
      </c>
      <c r="C1159" s="560">
        <v>2600</v>
      </c>
      <c r="D1159" s="569">
        <v>6890</v>
      </c>
      <c r="E1159" s="561">
        <f>SUMIFS('Accounting data'!$G$2:$G$37000,'Accounting data'!$J$2:$J$37000,"26*",'Accounting data'!$K$2:$K$37000,"689*")</f>
        <v>0</v>
      </c>
    </row>
    <row r="1160" spans="1:5" x14ac:dyDescent="0.2">
      <c r="A1160" s="560" t="s">
        <v>1006</v>
      </c>
      <c r="B1160" s="560" t="s">
        <v>1005</v>
      </c>
      <c r="C1160" s="560">
        <v>2600</v>
      </c>
      <c r="D1160" s="569">
        <v>6890</v>
      </c>
      <c r="E1160" s="561">
        <f>SUMIFS('Accounting data'!$G$2:$G$37000,'Accounting data'!$H$2:$H$37000,"9999*",'Accounting data'!$J$2:$J$37000,"26*",'Accounting data'!$K$2:$K$37000,"689*")</f>
        <v>0</v>
      </c>
    </row>
    <row r="1161" spans="1:5" x14ac:dyDescent="0.2">
      <c r="A1161" s="560" t="s">
        <v>1005</v>
      </c>
      <c r="B1161" s="560" t="s">
        <v>1007</v>
      </c>
      <c r="C1161" s="560">
        <v>2600</v>
      </c>
      <c r="D1161" s="569">
        <v>6890</v>
      </c>
      <c r="E1161" s="561">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2" t="s">
        <v>1006</v>
      </c>
      <c r="B1162" s="560" t="s">
        <v>1007</v>
      </c>
      <c r="C1162" s="560">
        <v>2600</v>
      </c>
      <c r="D1162" s="569">
        <v>6890</v>
      </c>
      <c r="E1162" s="561">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0"/>
      <c r="B1163" s="560"/>
      <c r="C1163" s="560"/>
      <c r="D1163" s="569"/>
      <c r="E1163" s="561"/>
    </row>
    <row r="1164" spans="1:5" x14ac:dyDescent="0.2">
      <c r="A1164" s="560"/>
      <c r="B1164" s="560"/>
      <c r="C1164" s="560"/>
      <c r="D1164" s="569"/>
      <c r="E1164" s="561"/>
    </row>
    <row r="1165" spans="1:5" x14ac:dyDescent="0.2">
      <c r="A1165" s="563" t="s">
        <v>1094</v>
      </c>
      <c r="B1165" s="563"/>
      <c r="C1165" s="563"/>
      <c r="D1165" s="563"/>
      <c r="E1165" s="565">
        <f>(E1159-E1160-E1161)+(E1162+E1163+E1164)</f>
        <v>0</v>
      </c>
    </row>
    <row r="1166" spans="1:5" x14ac:dyDescent="0.2">
      <c r="A1166" s="560" t="s">
        <v>1005</v>
      </c>
      <c r="B1166" s="560" t="s">
        <v>1005</v>
      </c>
      <c r="C1166" s="560">
        <v>2700</v>
      </c>
      <c r="D1166" s="569">
        <v>6890</v>
      </c>
      <c r="E1166" s="561">
        <f>SUMIFS('Accounting data'!$G$2:$G$37000,'Accounting data'!$J$2:$J$37000,"27*",'Accounting data'!$K$2:$K$37000,"689*")</f>
        <v>0</v>
      </c>
    </row>
    <row r="1167" spans="1:5" x14ac:dyDescent="0.2">
      <c r="A1167" s="560" t="s">
        <v>1006</v>
      </c>
      <c r="B1167" s="560" t="s">
        <v>1005</v>
      </c>
      <c r="C1167" s="560">
        <v>2700</v>
      </c>
      <c r="D1167" s="569">
        <v>6890</v>
      </c>
      <c r="E1167" s="561">
        <f>SUMIFS('Accounting data'!$G$2:$G$37000,'Accounting data'!$H$2:$H$37000,"9999*",'Accounting data'!$J$2:$J$37000,"27*",'Accounting data'!$K$2:$K$37000,"689*")</f>
        <v>0</v>
      </c>
    </row>
    <row r="1168" spans="1:5" x14ac:dyDescent="0.2">
      <c r="A1168" s="560" t="s">
        <v>1005</v>
      </c>
      <c r="B1168" s="560" t="s">
        <v>1007</v>
      </c>
      <c r="C1168" s="560">
        <v>2700</v>
      </c>
      <c r="D1168" s="569">
        <v>6890</v>
      </c>
      <c r="E1168" s="561">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2" t="s">
        <v>1006</v>
      </c>
      <c r="B1169" s="560" t="s">
        <v>1007</v>
      </c>
      <c r="C1169" s="560">
        <v>2700</v>
      </c>
      <c r="D1169" s="569">
        <v>6890</v>
      </c>
      <c r="E1169" s="561">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0"/>
      <c r="B1170" s="560"/>
      <c r="C1170" s="560"/>
      <c r="D1170" s="569"/>
      <c r="E1170" s="561"/>
    </row>
    <row r="1171" spans="1:5" x14ac:dyDescent="0.2">
      <c r="A1171" s="560"/>
      <c r="B1171" s="560"/>
      <c r="C1171" s="560"/>
      <c r="D1171" s="569"/>
      <c r="E1171" s="561"/>
    </row>
    <row r="1172" spans="1:5" x14ac:dyDescent="0.2">
      <c r="A1172" s="563" t="s">
        <v>1095</v>
      </c>
      <c r="B1172" s="563"/>
      <c r="C1172" s="563"/>
      <c r="D1172" s="563"/>
      <c r="E1172" s="565">
        <f>(E1166-E1167-E1168)+(E1169+E1170+E1171)</f>
        <v>0</v>
      </c>
    </row>
    <row r="1173" spans="1:5" x14ac:dyDescent="0.2">
      <c r="A1173" s="560" t="s">
        <v>1005</v>
      </c>
      <c r="B1173" s="560" t="s">
        <v>1005</v>
      </c>
      <c r="C1173" s="560">
        <v>3100</v>
      </c>
      <c r="D1173" s="569">
        <v>6890</v>
      </c>
      <c r="E1173" s="561">
        <f>SUMIFS('Accounting data'!$G$2:$G$37000,'Accounting data'!$J$2:$J$37000,"31*",'Accounting data'!$K$2:$K$37000,"689*")</f>
        <v>0</v>
      </c>
    </row>
    <row r="1174" spans="1:5" x14ac:dyDescent="0.2">
      <c r="A1174" s="560" t="s">
        <v>1006</v>
      </c>
      <c r="B1174" s="560" t="s">
        <v>1005</v>
      </c>
      <c r="C1174" s="560">
        <v>3100</v>
      </c>
      <c r="D1174" s="569">
        <v>6890</v>
      </c>
      <c r="E1174" s="561">
        <f>SUMIFS('Accounting data'!$G$2:$G$37000,'Accounting data'!$H$2:$H$37000,"9999*",'Accounting data'!$J$2:$J$37000,"31*",'Accounting data'!$K$2:$K$37000,"689*")</f>
        <v>0</v>
      </c>
    </row>
    <row r="1175" spans="1:5" x14ac:dyDescent="0.2">
      <c r="A1175" s="560" t="s">
        <v>1005</v>
      </c>
      <c r="B1175" s="560" t="s">
        <v>1007</v>
      </c>
      <c r="C1175" s="560">
        <v>3100</v>
      </c>
      <c r="D1175" s="569">
        <v>6890</v>
      </c>
      <c r="E1175" s="561">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2" t="s">
        <v>1006</v>
      </c>
      <c r="B1176" s="560" t="s">
        <v>1007</v>
      </c>
      <c r="C1176" s="560">
        <v>3100</v>
      </c>
      <c r="D1176" s="569">
        <v>6890</v>
      </c>
      <c r="E1176" s="561">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0"/>
      <c r="B1177" s="560"/>
      <c r="C1177" s="560"/>
      <c r="D1177" s="569"/>
      <c r="E1177" s="561"/>
    </row>
    <row r="1178" spans="1:5" x14ac:dyDescent="0.2">
      <c r="A1178" s="560"/>
      <c r="B1178" s="560"/>
      <c r="C1178" s="560"/>
      <c r="D1178" s="569"/>
      <c r="E1178" s="561"/>
    </row>
    <row r="1179" spans="1:5" x14ac:dyDescent="0.2">
      <c r="A1179" s="563" t="s">
        <v>1096</v>
      </c>
      <c r="B1179" s="563"/>
      <c r="C1179" s="563"/>
      <c r="D1179" s="563"/>
      <c r="E1179" s="565">
        <f>(E1173-E1174-E1175)+(E1176+E1177+E1178)</f>
        <v>0</v>
      </c>
    </row>
    <row r="1180" spans="1:5" x14ac:dyDescent="0.2">
      <c r="A1180" s="560"/>
      <c r="B1180" s="560"/>
      <c r="C1180" s="560"/>
      <c r="D1180" s="569"/>
      <c r="E1180" s="561"/>
    </row>
    <row r="1181" spans="1:5" x14ac:dyDescent="0.2">
      <c r="A1181" s="560"/>
      <c r="B1181" s="560"/>
      <c r="C1181" s="560"/>
      <c r="D1181" s="569"/>
      <c r="E1181" s="561"/>
    </row>
    <row r="1182" spans="1:5" x14ac:dyDescent="0.2">
      <c r="A1182" s="560"/>
      <c r="B1182" s="560"/>
      <c r="C1182" s="560"/>
      <c r="D1182" s="569"/>
      <c r="E1182" s="561"/>
    </row>
    <row r="1183" spans="1:5" x14ac:dyDescent="0.2">
      <c r="A1183" s="562"/>
      <c r="B1183" s="560"/>
      <c r="C1183" s="560"/>
      <c r="D1183" s="569"/>
      <c r="E1183" s="561"/>
    </row>
    <row r="1184" spans="1:5" x14ac:dyDescent="0.2">
      <c r="A1184" s="560"/>
      <c r="B1184" s="560"/>
      <c r="C1184" s="560"/>
      <c r="D1184" s="569"/>
      <c r="E1184" s="561"/>
    </row>
    <row r="1185" spans="1:5" x14ac:dyDescent="0.2">
      <c r="A1185" s="560"/>
      <c r="B1185" s="560"/>
      <c r="C1185" s="560"/>
      <c r="D1185" s="569"/>
      <c r="E1185" s="561"/>
    </row>
    <row r="1186" spans="1:5" x14ac:dyDescent="0.2">
      <c r="A1186" s="563" t="s">
        <v>1097</v>
      </c>
      <c r="B1186" s="563"/>
      <c r="C1186" s="563"/>
      <c r="D1186" s="563"/>
      <c r="E1186" s="565">
        <f>(E1180-E1181-E1182)+(E1183+E1184+E1185)</f>
        <v>0</v>
      </c>
    </row>
    <row r="1187" spans="1:5" x14ac:dyDescent="0.2">
      <c r="A1187" s="560" t="s">
        <v>1005</v>
      </c>
      <c r="B1187" s="560" t="s">
        <v>1005</v>
      </c>
      <c r="C1187" s="560">
        <v>3400</v>
      </c>
      <c r="D1187" s="569">
        <v>6890</v>
      </c>
      <c r="E1187" s="561">
        <f>SUMIFS('Accounting data'!$G$2:$G$37000,'Accounting data'!$J$2:$J$37000,"34*",'Accounting data'!$K$2:$K$37000,"689*")</f>
        <v>0</v>
      </c>
    </row>
    <row r="1188" spans="1:5" x14ac:dyDescent="0.2">
      <c r="A1188" s="560" t="s">
        <v>1006</v>
      </c>
      <c r="B1188" s="560" t="s">
        <v>1005</v>
      </c>
      <c r="C1188" s="560">
        <v>3400</v>
      </c>
      <c r="D1188" s="569">
        <v>6890</v>
      </c>
      <c r="E1188" s="561">
        <f>SUMIFS('Accounting data'!$G$2:$G$37000,'Accounting data'!$H$2:$H$37000,"9999*",'Accounting data'!$J$2:$J$37000,"34*",'Accounting data'!$K$2:$K$37000,"689*")</f>
        <v>0</v>
      </c>
    </row>
    <row r="1189" spans="1:5" x14ac:dyDescent="0.2">
      <c r="A1189" s="560" t="s">
        <v>1005</v>
      </c>
      <c r="B1189" s="560" t="s">
        <v>1007</v>
      </c>
      <c r="C1189" s="560">
        <v>3400</v>
      </c>
      <c r="D1189" s="569">
        <v>6890</v>
      </c>
      <c r="E1189" s="561">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2" t="s">
        <v>1006</v>
      </c>
      <c r="B1190" s="560" t="s">
        <v>1007</v>
      </c>
      <c r="C1190" s="560">
        <v>3400</v>
      </c>
      <c r="D1190" s="569">
        <v>6890</v>
      </c>
      <c r="E1190" s="561">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0"/>
      <c r="B1191" s="560"/>
      <c r="C1191" s="560"/>
      <c r="D1191" s="569"/>
      <c r="E1191" s="561"/>
    </row>
    <row r="1192" spans="1:5" x14ac:dyDescent="0.2">
      <c r="A1192" s="560"/>
      <c r="B1192" s="560"/>
      <c r="C1192" s="560"/>
      <c r="D1192" s="569"/>
      <c r="E1192" s="561"/>
    </row>
    <row r="1193" spans="1:5" x14ac:dyDescent="0.2">
      <c r="A1193" s="563" t="s">
        <v>1098</v>
      </c>
      <c r="B1193" s="563"/>
      <c r="C1193" s="563"/>
      <c r="D1193" s="563"/>
      <c r="E1193" s="565">
        <f>(E1187-E1188-E1189)+(E1190+E1191+E1192)</f>
        <v>0</v>
      </c>
    </row>
    <row r="1194" spans="1:5" x14ac:dyDescent="0.2">
      <c r="A1194" s="560" t="s">
        <v>1005</v>
      </c>
      <c r="B1194" s="560" t="s">
        <v>1005</v>
      </c>
      <c r="C1194" s="560">
        <v>4000</v>
      </c>
      <c r="D1194" s="569">
        <v>6890</v>
      </c>
      <c r="E1194" s="561">
        <f>SUMIFS('Accounting data'!$G$2:$G$37000,'Accounting data'!$J$2:$J$37000,"4*",'Accounting data'!$K$2:$K$37000,"689*")</f>
        <v>0</v>
      </c>
    </row>
    <row r="1195" spans="1:5" x14ac:dyDescent="0.2">
      <c r="A1195" s="560" t="s">
        <v>1006</v>
      </c>
      <c r="B1195" s="560" t="s">
        <v>1005</v>
      </c>
      <c r="C1195" s="560">
        <v>4000</v>
      </c>
      <c r="D1195" s="569">
        <v>6890</v>
      </c>
      <c r="E1195" s="561">
        <f>SUMIFS('Accounting data'!$G$2:$G$37000,'Accounting data'!$H$2:$H$37000,"9999*",'Accounting data'!$J$2:$J$37000,"4*",'Accounting data'!$K$2:$K$37000,"689*")</f>
        <v>0</v>
      </c>
    </row>
    <row r="1196" spans="1:5" x14ac:dyDescent="0.2">
      <c r="A1196" s="560" t="s">
        <v>1005</v>
      </c>
      <c r="B1196" s="560" t="s">
        <v>1007</v>
      </c>
      <c r="C1196" s="560">
        <v>4000</v>
      </c>
      <c r="D1196" s="569">
        <v>6890</v>
      </c>
      <c r="E1196" s="561">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2" t="s">
        <v>1006</v>
      </c>
      <c r="B1197" s="560" t="s">
        <v>1007</v>
      </c>
      <c r="C1197" s="560">
        <v>4000</v>
      </c>
      <c r="D1197" s="569">
        <v>6890</v>
      </c>
      <c r="E1197" s="561">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0"/>
      <c r="B1198" s="560"/>
      <c r="C1198" s="560"/>
      <c r="D1198" s="569"/>
      <c r="E1198" s="561"/>
    </row>
    <row r="1199" spans="1:5" x14ac:dyDescent="0.2">
      <c r="A1199" s="560"/>
      <c r="B1199" s="560"/>
      <c r="C1199" s="560"/>
      <c r="D1199" s="569"/>
      <c r="E1199" s="561"/>
    </row>
    <row r="1200" spans="1:5" x14ac:dyDescent="0.2">
      <c r="A1200" s="563" t="s">
        <v>1099</v>
      </c>
      <c r="B1200" s="563"/>
      <c r="C1200" s="563"/>
      <c r="D1200" s="563"/>
      <c r="E1200" s="565">
        <f>(E1194-E1195-E1196)+(E1197+E1198+E1199)</f>
        <v>0</v>
      </c>
    </row>
    <row r="1201" spans="1:5" x14ac:dyDescent="0.2">
      <c r="A1201" s="566" t="s">
        <v>1100</v>
      </c>
      <c r="B1201" s="566"/>
      <c r="C1201" s="566"/>
      <c r="D1201" s="566"/>
      <c r="E1201" s="570">
        <f>E1116+E1123+E1130+E1137+E1144+E1151+E1158+E1165+E1172+E1179+E1186+E1193</f>
        <v>2149</v>
      </c>
    </row>
    <row r="1202" spans="1:5" x14ac:dyDescent="0.2">
      <c r="A1202" s="560" t="s">
        <v>1021</v>
      </c>
      <c r="B1202" s="560" t="s">
        <v>1005</v>
      </c>
      <c r="C1202" s="560">
        <v>1000</v>
      </c>
      <c r="D1202" s="560">
        <v>6890</v>
      </c>
      <c r="E1202" s="561">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0" t="s">
        <v>1021</v>
      </c>
      <c r="B1203" s="560" t="s">
        <v>1005</v>
      </c>
      <c r="C1203" s="560">
        <v>2000</v>
      </c>
      <c r="D1203" s="560">
        <v>6890</v>
      </c>
      <c r="E1203" s="561">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0" t="s">
        <v>1021</v>
      </c>
      <c r="B1204" s="560" t="s">
        <v>1005</v>
      </c>
      <c r="C1204" s="560">
        <v>3000</v>
      </c>
      <c r="D1204" s="560">
        <v>6890</v>
      </c>
      <c r="E1204" s="561">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0" t="s">
        <v>1021</v>
      </c>
      <c r="B1205" s="562">
        <v>700</v>
      </c>
      <c r="C1205" s="560">
        <v>1000</v>
      </c>
      <c r="D1205" s="560">
        <v>6890</v>
      </c>
      <c r="E1205" s="561">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0" t="s">
        <v>1021</v>
      </c>
      <c r="B1206" s="562">
        <v>800</v>
      </c>
      <c r="C1206" s="560">
        <v>1000</v>
      </c>
      <c r="D1206" s="560">
        <v>6890</v>
      </c>
      <c r="E1206" s="561">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0" t="s">
        <v>1021</v>
      </c>
      <c r="B1207" s="562">
        <v>900</v>
      </c>
      <c r="C1207" s="560">
        <v>1000</v>
      </c>
      <c r="D1207" s="560">
        <v>6890</v>
      </c>
      <c r="E1207" s="561">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0" t="s">
        <v>1021</v>
      </c>
      <c r="B1208" s="562">
        <v>700</v>
      </c>
      <c r="C1208" s="560">
        <v>2000</v>
      </c>
      <c r="D1208" s="560">
        <v>6890</v>
      </c>
      <c r="E1208" s="561">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0" t="s">
        <v>1021</v>
      </c>
      <c r="B1209" s="562">
        <v>800</v>
      </c>
      <c r="C1209" s="560">
        <v>2000</v>
      </c>
      <c r="D1209" s="560">
        <v>6890</v>
      </c>
      <c r="E1209" s="561">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0" t="s">
        <v>1021</v>
      </c>
      <c r="B1210" s="562">
        <v>900</v>
      </c>
      <c r="C1210" s="560">
        <v>2000</v>
      </c>
      <c r="D1210" s="560">
        <v>6890</v>
      </c>
      <c r="E1210" s="561">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0" t="s">
        <v>1021</v>
      </c>
      <c r="B1211" s="562">
        <v>700</v>
      </c>
      <c r="C1211" s="560">
        <v>3000</v>
      </c>
      <c r="D1211" s="560">
        <v>6890</v>
      </c>
      <c r="E1211" s="561">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0" t="s">
        <v>1021</v>
      </c>
      <c r="B1212" s="562">
        <v>800</v>
      </c>
      <c r="C1212" s="560">
        <v>3000</v>
      </c>
      <c r="D1212" s="560">
        <v>6890</v>
      </c>
      <c r="E1212" s="561">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0" t="s">
        <v>1021</v>
      </c>
      <c r="B1213" s="562">
        <v>900</v>
      </c>
      <c r="C1213" s="560">
        <v>3000</v>
      </c>
      <c r="D1213" s="560">
        <v>6890</v>
      </c>
      <c r="E1213" s="561">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3" t="s">
        <v>1101</v>
      </c>
      <c r="B1214" s="563"/>
      <c r="C1214" s="563"/>
      <c r="D1214" s="563"/>
      <c r="E1214" s="565">
        <f>(E1202+E1203+E1204)-(E1205+E1206+E1207+E1208+E1209+E1210+E1211+E1212+E1213)</f>
        <v>0</v>
      </c>
    </row>
    <row r="1215" spans="1:5" x14ac:dyDescent="0.2">
      <c r="A1215" s="560" t="s">
        <v>1005</v>
      </c>
      <c r="B1215" s="560" t="s">
        <v>1007</v>
      </c>
      <c r="C1215" s="560">
        <v>1000</v>
      </c>
      <c r="D1215" s="560">
        <v>6000</v>
      </c>
      <c r="E1215" s="561">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60" t="s">
        <v>1005</v>
      </c>
      <c r="B1216" s="560" t="s">
        <v>1007</v>
      </c>
      <c r="C1216" s="560">
        <v>1000</v>
      </c>
      <c r="D1216" s="560">
        <v>6900</v>
      </c>
      <c r="E1216" s="561">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0" t="s">
        <v>1005</v>
      </c>
      <c r="B1217" s="560" t="s">
        <v>1007</v>
      </c>
      <c r="C1217" s="560">
        <v>1000</v>
      </c>
      <c r="D1217" s="569">
        <v>6700</v>
      </c>
      <c r="E1217" s="561">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2" t="s">
        <v>1006</v>
      </c>
      <c r="B1218" s="560" t="s">
        <v>1007</v>
      </c>
      <c r="C1218" s="560">
        <v>1000</v>
      </c>
      <c r="D1218" s="560">
        <v>6000</v>
      </c>
      <c r="E1218" s="561">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0"/>
      <c r="B1219" s="560"/>
      <c r="C1219" s="560"/>
      <c r="D1219" s="560"/>
      <c r="E1219" s="561"/>
    </row>
    <row r="1220" spans="1:5" x14ac:dyDescent="0.2">
      <c r="A1220" s="562" t="s">
        <v>1006</v>
      </c>
      <c r="B1220" s="560" t="s">
        <v>1007</v>
      </c>
      <c r="C1220" s="560">
        <v>1000</v>
      </c>
      <c r="D1220" s="560">
        <v>6900</v>
      </c>
      <c r="E1220" s="561">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0"/>
      <c r="B1221" s="560"/>
      <c r="C1221" s="560"/>
      <c r="D1221" s="560"/>
      <c r="E1221" s="561"/>
    </row>
    <row r="1222" spans="1:5" x14ac:dyDescent="0.2">
      <c r="A1222" s="562" t="s">
        <v>1006</v>
      </c>
      <c r="B1222" s="560" t="s">
        <v>1007</v>
      </c>
      <c r="C1222" s="560">
        <v>1000</v>
      </c>
      <c r="D1222" s="569">
        <v>6700</v>
      </c>
      <c r="E1222" s="561">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2"/>
      <c r="B1223" s="560"/>
      <c r="C1223" s="560"/>
      <c r="D1223" s="569"/>
      <c r="E1223" s="561"/>
    </row>
    <row r="1224" spans="1:5" x14ac:dyDescent="0.2">
      <c r="A1224" s="562"/>
      <c r="B1224" s="560"/>
      <c r="C1224" s="560"/>
      <c r="D1224" s="569"/>
      <c r="E1224" s="561"/>
    </row>
    <row r="1225" spans="1:5" x14ac:dyDescent="0.2">
      <c r="A1225" s="563" t="s">
        <v>1102</v>
      </c>
      <c r="B1225" s="563"/>
      <c r="C1225" s="563"/>
      <c r="D1225" s="563"/>
      <c r="E1225" s="565">
        <f>(E1215-E1216-E1217)-((E1218+E1219)-(E1220+E1221))-(E1222+E1223+E1224)</f>
        <v>0</v>
      </c>
    </row>
    <row r="1226" spans="1:5" x14ac:dyDescent="0.2">
      <c r="A1226" s="560" t="s">
        <v>1005</v>
      </c>
      <c r="B1226" s="560" t="s">
        <v>1007</v>
      </c>
      <c r="C1226" s="560">
        <v>2100</v>
      </c>
      <c r="D1226" s="560">
        <v>6000</v>
      </c>
      <c r="E1226" s="561">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60" t="s">
        <v>1005</v>
      </c>
      <c r="B1227" s="560" t="s">
        <v>1007</v>
      </c>
      <c r="C1227" s="560">
        <v>2100</v>
      </c>
      <c r="D1227" s="560">
        <v>6900</v>
      </c>
      <c r="E1227" s="561">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0" t="s">
        <v>1005</v>
      </c>
      <c r="B1228" s="560" t="s">
        <v>1007</v>
      </c>
      <c r="C1228" s="560">
        <v>2100</v>
      </c>
      <c r="D1228" s="569">
        <v>6700</v>
      </c>
      <c r="E1228" s="561">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2" t="s">
        <v>1006</v>
      </c>
      <c r="B1229" s="560" t="s">
        <v>1007</v>
      </c>
      <c r="C1229" s="560">
        <v>2100</v>
      </c>
      <c r="D1229" s="560">
        <v>6000</v>
      </c>
      <c r="E1229" s="561">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0"/>
      <c r="B1230" s="560"/>
      <c r="C1230" s="560"/>
      <c r="D1230" s="560"/>
      <c r="E1230" s="561"/>
    </row>
    <row r="1231" spans="1:5" x14ac:dyDescent="0.2">
      <c r="A1231" s="562" t="s">
        <v>1006</v>
      </c>
      <c r="B1231" s="560" t="s">
        <v>1007</v>
      </c>
      <c r="C1231" s="560">
        <v>2100</v>
      </c>
      <c r="D1231" s="560">
        <v>6900</v>
      </c>
      <c r="E1231" s="561">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0"/>
      <c r="B1232" s="560"/>
      <c r="C1232" s="560"/>
      <c r="D1232" s="560"/>
      <c r="E1232" s="561"/>
    </row>
    <row r="1233" spans="1:5" x14ac:dyDescent="0.2">
      <c r="A1233" s="562" t="s">
        <v>1006</v>
      </c>
      <c r="B1233" s="560" t="s">
        <v>1007</v>
      </c>
      <c r="C1233" s="560">
        <v>2100</v>
      </c>
      <c r="D1233" s="569">
        <v>6700</v>
      </c>
      <c r="E1233" s="561">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2"/>
      <c r="B1234" s="560"/>
      <c r="C1234" s="560"/>
      <c r="D1234" s="569"/>
      <c r="E1234" s="561"/>
    </row>
    <row r="1235" spans="1:5" x14ac:dyDescent="0.2">
      <c r="A1235" s="562"/>
      <c r="B1235" s="560"/>
      <c r="C1235" s="560"/>
      <c r="D1235" s="569"/>
      <c r="E1235" s="561"/>
    </row>
    <row r="1236" spans="1:5" x14ac:dyDescent="0.2">
      <c r="A1236" s="563" t="s">
        <v>1103</v>
      </c>
      <c r="B1236" s="563"/>
      <c r="C1236" s="563"/>
      <c r="D1236" s="563"/>
      <c r="E1236" s="565">
        <f>(E1226-E1227-E1228)-((E1229+E1230)-(E1231+E1232))-(E1233+E1234+E1235)</f>
        <v>0</v>
      </c>
    </row>
    <row r="1237" spans="1:5" x14ac:dyDescent="0.2">
      <c r="A1237" s="560" t="s">
        <v>1005</v>
      </c>
      <c r="B1237" s="560" t="s">
        <v>1007</v>
      </c>
      <c r="C1237" s="560">
        <v>2200</v>
      </c>
      <c r="D1237" s="560">
        <v>6000</v>
      </c>
      <c r="E1237" s="561">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0" t="s">
        <v>1005</v>
      </c>
      <c r="B1238" s="560" t="s">
        <v>1007</v>
      </c>
      <c r="C1238" s="560">
        <v>2200</v>
      </c>
      <c r="D1238" s="560">
        <v>6900</v>
      </c>
      <c r="E1238" s="561">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0" t="s">
        <v>1005</v>
      </c>
      <c r="B1239" s="560" t="s">
        <v>1007</v>
      </c>
      <c r="C1239" s="560">
        <v>2200</v>
      </c>
      <c r="D1239" s="569">
        <v>6700</v>
      </c>
      <c r="E1239" s="561">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2" t="s">
        <v>1006</v>
      </c>
      <c r="B1240" s="560" t="s">
        <v>1007</v>
      </c>
      <c r="C1240" s="560">
        <v>2200</v>
      </c>
      <c r="D1240" s="560">
        <v>6000</v>
      </c>
      <c r="E1240" s="561">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0"/>
      <c r="B1241" s="560"/>
      <c r="C1241" s="560"/>
      <c r="D1241" s="560"/>
      <c r="E1241" s="561"/>
    </row>
    <row r="1242" spans="1:5" x14ac:dyDescent="0.2">
      <c r="A1242" s="562" t="s">
        <v>1006</v>
      </c>
      <c r="B1242" s="560" t="s">
        <v>1007</v>
      </c>
      <c r="C1242" s="560">
        <v>2200</v>
      </c>
      <c r="D1242" s="560">
        <v>6900</v>
      </c>
      <c r="E1242" s="561">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0"/>
      <c r="B1243" s="560"/>
      <c r="C1243" s="560"/>
      <c r="D1243" s="560"/>
      <c r="E1243" s="561"/>
    </row>
    <row r="1244" spans="1:5" x14ac:dyDescent="0.2">
      <c r="A1244" s="562" t="s">
        <v>1006</v>
      </c>
      <c r="B1244" s="560" t="s">
        <v>1007</v>
      </c>
      <c r="C1244" s="560">
        <v>2200</v>
      </c>
      <c r="D1244" s="569">
        <v>6700</v>
      </c>
      <c r="E1244" s="561">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2"/>
      <c r="B1245" s="560"/>
      <c r="C1245" s="560"/>
      <c r="D1245" s="569"/>
      <c r="E1245" s="561"/>
    </row>
    <row r="1246" spans="1:5" x14ac:dyDescent="0.2">
      <c r="A1246" s="562"/>
      <c r="B1246" s="560"/>
      <c r="C1246" s="560"/>
      <c r="D1246" s="569"/>
      <c r="E1246" s="561"/>
    </row>
    <row r="1247" spans="1:5" x14ac:dyDescent="0.2">
      <c r="A1247" s="563" t="s">
        <v>1104</v>
      </c>
      <c r="B1247" s="563"/>
      <c r="C1247" s="563"/>
      <c r="D1247" s="563"/>
      <c r="E1247" s="565">
        <f>(E1237-E1238-E1239)-((E1240+E1241)-(E1242+E1243))-(E1244+E1245+E1246)</f>
        <v>0</v>
      </c>
    </row>
    <row r="1248" spans="1:5" x14ac:dyDescent="0.2">
      <c r="A1248" s="560" t="s">
        <v>1005</v>
      </c>
      <c r="B1248" s="560" t="s">
        <v>1007</v>
      </c>
      <c r="C1248" s="560">
        <v>2300</v>
      </c>
      <c r="D1248" s="560">
        <v>6000</v>
      </c>
      <c r="E1248" s="561">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0" t="s">
        <v>1005</v>
      </c>
      <c r="B1249" s="560" t="s">
        <v>1007</v>
      </c>
      <c r="C1249" s="560">
        <v>2300</v>
      </c>
      <c r="D1249" s="560">
        <v>6900</v>
      </c>
      <c r="E1249" s="561">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0" t="s">
        <v>1005</v>
      </c>
      <c r="B1250" s="560" t="s">
        <v>1007</v>
      </c>
      <c r="C1250" s="560">
        <v>2300</v>
      </c>
      <c r="D1250" s="569">
        <v>6700</v>
      </c>
      <c r="E1250" s="561">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2" t="s">
        <v>1006</v>
      </c>
      <c r="B1251" s="560" t="s">
        <v>1007</v>
      </c>
      <c r="C1251" s="560">
        <v>2300</v>
      </c>
      <c r="D1251" s="560">
        <v>6000</v>
      </c>
      <c r="E1251" s="561">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0"/>
      <c r="B1252" s="560"/>
      <c r="C1252" s="560"/>
      <c r="D1252" s="560"/>
      <c r="E1252" s="561"/>
    </row>
    <row r="1253" spans="1:5" x14ac:dyDescent="0.2">
      <c r="A1253" s="562" t="s">
        <v>1006</v>
      </c>
      <c r="B1253" s="560" t="s">
        <v>1007</v>
      </c>
      <c r="C1253" s="560">
        <v>2300</v>
      </c>
      <c r="D1253" s="560">
        <v>6900</v>
      </c>
      <c r="E1253" s="561">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0"/>
      <c r="B1254" s="560"/>
      <c r="C1254" s="560"/>
      <c r="D1254" s="560"/>
      <c r="E1254" s="561"/>
    </row>
    <row r="1255" spans="1:5" x14ac:dyDescent="0.2">
      <c r="A1255" s="562" t="s">
        <v>1006</v>
      </c>
      <c r="B1255" s="560" t="s">
        <v>1007</v>
      </c>
      <c r="C1255" s="560">
        <v>2300</v>
      </c>
      <c r="D1255" s="569">
        <v>6700</v>
      </c>
      <c r="E1255" s="561">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2"/>
      <c r="B1256" s="560"/>
      <c r="C1256" s="560"/>
      <c r="D1256" s="569"/>
      <c r="E1256" s="561"/>
    </row>
    <row r="1257" spans="1:5" x14ac:dyDescent="0.2">
      <c r="A1257" s="562"/>
      <c r="B1257" s="560"/>
      <c r="C1257" s="560"/>
      <c r="D1257" s="569"/>
      <c r="E1257" s="561"/>
    </row>
    <row r="1258" spans="1:5" x14ac:dyDescent="0.2">
      <c r="A1258" s="563" t="s">
        <v>1105</v>
      </c>
      <c r="B1258" s="563"/>
      <c r="C1258" s="563"/>
      <c r="D1258" s="563"/>
      <c r="E1258" s="565">
        <f>(E1248-E1249-E1250)-((E1251+E1252)-(E1253+E1254))-(E1255+E1256+E1257)</f>
        <v>0</v>
      </c>
    </row>
    <row r="1259" spans="1:5" x14ac:dyDescent="0.2">
      <c r="A1259" s="560" t="s">
        <v>1005</v>
      </c>
      <c r="B1259" s="560" t="s">
        <v>1007</v>
      </c>
      <c r="C1259" s="560">
        <v>2400</v>
      </c>
      <c r="D1259" s="560">
        <v>6000</v>
      </c>
      <c r="E1259" s="561">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0" t="s">
        <v>1005</v>
      </c>
      <c r="B1260" s="560" t="s">
        <v>1007</v>
      </c>
      <c r="C1260" s="560">
        <v>2400</v>
      </c>
      <c r="D1260" s="560">
        <v>6900</v>
      </c>
      <c r="E1260" s="561">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0" t="s">
        <v>1005</v>
      </c>
      <c r="B1261" s="560" t="s">
        <v>1007</v>
      </c>
      <c r="C1261" s="560">
        <v>2400</v>
      </c>
      <c r="D1261" s="569">
        <v>6700</v>
      </c>
      <c r="E1261" s="561">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2" t="s">
        <v>1006</v>
      </c>
      <c r="B1262" s="560" t="s">
        <v>1007</v>
      </c>
      <c r="C1262" s="560">
        <v>2400</v>
      </c>
      <c r="D1262" s="560">
        <v>6000</v>
      </c>
      <c r="E1262" s="561">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0"/>
      <c r="B1263" s="560"/>
      <c r="C1263" s="560"/>
      <c r="D1263" s="560"/>
      <c r="E1263" s="561"/>
    </row>
    <row r="1264" spans="1:5" x14ac:dyDescent="0.2">
      <c r="A1264" s="562" t="s">
        <v>1006</v>
      </c>
      <c r="B1264" s="560" t="s">
        <v>1007</v>
      </c>
      <c r="C1264" s="560">
        <v>2400</v>
      </c>
      <c r="D1264" s="560">
        <v>6900</v>
      </c>
      <c r="E1264" s="561">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0"/>
      <c r="B1265" s="560"/>
      <c r="C1265" s="560"/>
      <c r="D1265" s="560"/>
      <c r="E1265" s="561"/>
    </row>
    <row r="1266" spans="1:5" x14ac:dyDescent="0.2">
      <c r="A1266" s="562" t="s">
        <v>1006</v>
      </c>
      <c r="B1266" s="560" t="s">
        <v>1007</v>
      </c>
      <c r="C1266" s="560">
        <v>2400</v>
      </c>
      <c r="D1266" s="569">
        <v>6700</v>
      </c>
      <c r="E1266" s="561">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2"/>
      <c r="B1267" s="560"/>
      <c r="C1267" s="560"/>
      <c r="D1267" s="569"/>
      <c r="E1267" s="561"/>
    </row>
    <row r="1268" spans="1:5" x14ac:dyDescent="0.2">
      <c r="A1268" s="562"/>
      <c r="B1268" s="560"/>
      <c r="C1268" s="560"/>
      <c r="D1268" s="569"/>
      <c r="E1268" s="561"/>
    </row>
    <row r="1269" spans="1:5" x14ac:dyDescent="0.2">
      <c r="A1269" s="563" t="s">
        <v>1106</v>
      </c>
      <c r="B1269" s="563"/>
      <c r="C1269" s="563"/>
      <c r="D1269" s="563"/>
      <c r="E1269" s="565">
        <f>(E1259-E1260-E1261)-((E1262+E1263)-(E1264+E1265))-(E1266+E1267+E1268)</f>
        <v>0</v>
      </c>
    </row>
    <row r="1270" spans="1:5" x14ac:dyDescent="0.2">
      <c r="A1270" s="560" t="s">
        <v>1005</v>
      </c>
      <c r="B1270" s="560" t="s">
        <v>1007</v>
      </c>
      <c r="C1270" s="560">
        <v>2500</v>
      </c>
      <c r="D1270" s="560">
        <v>6000</v>
      </c>
      <c r="E1270" s="561">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0" t="s">
        <v>1005</v>
      </c>
      <c r="B1271" s="560" t="s">
        <v>1007</v>
      </c>
      <c r="C1271" s="560">
        <v>2500</v>
      </c>
      <c r="D1271" s="560">
        <v>6900</v>
      </c>
      <c r="E1271" s="561">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0" t="s">
        <v>1005</v>
      </c>
      <c r="B1272" s="560" t="s">
        <v>1007</v>
      </c>
      <c r="C1272" s="560">
        <v>2500</v>
      </c>
      <c r="D1272" s="569">
        <v>6700</v>
      </c>
      <c r="E1272" s="561">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2" t="s">
        <v>1006</v>
      </c>
      <c r="B1273" s="560" t="s">
        <v>1007</v>
      </c>
      <c r="C1273" s="560">
        <v>2500</v>
      </c>
      <c r="D1273" s="560">
        <v>6000</v>
      </c>
      <c r="E1273" s="561">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0"/>
      <c r="B1274" s="560"/>
      <c r="C1274" s="560"/>
      <c r="D1274" s="560"/>
      <c r="E1274" s="561"/>
    </row>
    <row r="1275" spans="1:5" x14ac:dyDescent="0.2">
      <c r="A1275" s="562" t="s">
        <v>1006</v>
      </c>
      <c r="B1275" s="560" t="s">
        <v>1007</v>
      </c>
      <c r="C1275" s="560">
        <v>2500</v>
      </c>
      <c r="D1275" s="560">
        <v>6900</v>
      </c>
      <c r="E1275" s="561">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0"/>
      <c r="B1276" s="560"/>
      <c r="C1276" s="560"/>
      <c r="D1276" s="560"/>
      <c r="E1276" s="561"/>
    </row>
    <row r="1277" spans="1:5" x14ac:dyDescent="0.2">
      <c r="A1277" s="562" t="s">
        <v>1006</v>
      </c>
      <c r="B1277" s="560" t="s">
        <v>1007</v>
      </c>
      <c r="C1277" s="560">
        <v>2500</v>
      </c>
      <c r="D1277" s="569">
        <v>6700</v>
      </c>
      <c r="E1277" s="561">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2"/>
      <c r="B1278" s="560"/>
      <c r="C1278" s="560"/>
      <c r="D1278" s="569"/>
      <c r="E1278" s="561"/>
    </row>
    <row r="1279" spans="1:5" x14ac:dyDescent="0.2">
      <c r="A1279" s="562"/>
      <c r="B1279" s="560"/>
      <c r="C1279" s="560"/>
      <c r="D1279" s="569"/>
      <c r="E1279" s="561"/>
    </row>
    <row r="1280" spans="1:5" x14ac:dyDescent="0.2">
      <c r="A1280" s="563" t="s">
        <v>1107</v>
      </c>
      <c r="B1280" s="563"/>
      <c r="C1280" s="563"/>
      <c r="D1280" s="563"/>
      <c r="E1280" s="565">
        <f>(E1270-E1271-E1272)-((E1273+E1274)-(E1275+E1276))-(E1277+E1278+E1279)</f>
        <v>0</v>
      </c>
    </row>
    <row r="1281" spans="1:5" x14ac:dyDescent="0.2">
      <c r="A1281" s="560" t="s">
        <v>1005</v>
      </c>
      <c r="B1281" s="560" t="s">
        <v>1007</v>
      </c>
      <c r="C1281" s="560">
        <v>2900</v>
      </c>
      <c r="D1281" s="560">
        <v>6000</v>
      </c>
      <c r="E1281" s="561">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0" t="s">
        <v>1005</v>
      </c>
      <c r="B1282" s="560" t="s">
        <v>1007</v>
      </c>
      <c r="C1282" s="560">
        <v>2900</v>
      </c>
      <c r="D1282" s="560">
        <v>6900</v>
      </c>
      <c r="E1282" s="561">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0" t="s">
        <v>1005</v>
      </c>
      <c r="B1283" s="560" t="s">
        <v>1007</v>
      </c>
      <c r="C1283" s="560">
        <v>2900</v>
      </c>
      <c r="D1283" s="569">
        <v>6700</v>
      </c>
      <c r="E1283" s="561">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2" t="s">
        <v>1006</v>
      </c>
      <c r="B1284" s="560" t="s">
        <v>1007</v>
      </c>
      <c r="C1284" s="560">
        <v>2900</v>
      </c>
      <c r="D1284" s="560">
        <v>6000</v>
      </c>
      <c r="E1284" s="561">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0"/>
      <c r="B1285" s="560"/>
      <c r="C1285" s="560"/>
      <c r="D1285" s="560"/>
      <c r="E1285" s="561"/>
    </row>
    <row r="1286" spans="1:5" x14ac:dyDescent="0.2">
      <c r="A1286" s="562" t="s">
        <v>1006</v>
      </c>
      <c r="B1286" s="560" t="s">
        <v>1007</v>
      </c>
      <c r="C1286" s="560">
        <v>2900</v>
      </c>
      <c r="D1286" s="560">
        <v>6900</v>
      </c>
      <c r="E1286" s="561">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0"/>
      <c r="B1287" s="560"/>
      <c r="C1287" s="560"/>
      <c r="D1287" s="560"/>
      <c r="E1287" s="561"/>
    </row>
    <row r="1288" spans="1:5" x14ac:dyDescent="0.2">
      <c r="A1288" s="562" t="s">
        <v>1006</v>
      </c>
      <c r="B1288" s="560" t="s">
        <v>1007</v>
      </c>
      <c r="C1288" s="560">
        <v>2900</v>
      </c>
      <c r="D1288" s="569">
        <v>6700</v>
      </c>
      <c r="E1288" s="561">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2"/>
      <c r="B1289" s="560"/>
      <c r="C1289" s="560"/>
      <c r="D1289" s="569"/>
      <c r="E1289" s="561"/>
    </row>
    <row r="1290" spans="1:5" x14ac:dyDescent="0.2">
      <c r="A1290" s="562"/>
      <c r="B1290" s="560"/>
      <c r="C1290" s="560"/>
      <c r="D1290" s="569"/>
      <c r="E1290" s="561"/>
    </row>
    <row r="1291" spans="1:5" x14ac:dyDescent="0.2">
      <c r="A1291" s="563" t="s">
        <v>1108</v>
      </c>
      <c r="B1291" s="563"/>
      <c r="C1291" s="563"/>
      <c r="D1291" s="563"/>
      <c r="E1291" s="565">
        <f>(E1281-E1282-E1283)-((E1284+E1285)-(E1286+E1287))-(E1288+E1289+E1290)</f>
        <v>0</v>
      </c>
    </row>
    <row r="1292" spans="1:5" x14ac:dyDescent="0.2">
      <c r="A1292" s="560" t="s">
        <v>1005</v>
      </c>
      <c r="B1292" s="560" t="s">
        <v>1007</v>
      </c>
      <c r="C1292" s="560">
        <v>2600</v>
      </c>
      <c r="D1292" s="560">
        <v>6000</v>
      </c>
      <c r="E1292" s="561">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0" t="s">
        <v>1005</v>
      </c>
      <c r="B1293" s="560" t="s">
        <v>1007</v>
      </c>
      <c r="C1293" s="560">
        <v>2600</v>
      </c>
      <c r="D1293" s="560">
        <v>6900</v>
      </c>
      <c r="E1293" s="561">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0" t="s">
        <v>1005</v>
      </c>
      <c r="B1294" s="560" t="s">
        <v>1007</v>
      </c>
      <c r="C1294" s="560">
        <v>2600</v>
      </c>
      <c r="D1294" s="569">
        <v>6700</v>
      </c>
      <c r="E1294" s="561">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2" t="s">
        <v>1006</v>
      </c>
      <c r="B1295" s="560" t="s">
        <v>1007</v>
      </c>
      <c r="C1295" s="560">
        <v>2600</v>
      </c>
      <c r="D1295" s="560">
        <v>6000</v>
      </c>
      <c r="E1295" s="561">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0"/>
      <c r="B1296" s="560"/>
      <c r="C1296" s="560"/>
      <c r="D1296" s="560"/>
      <c r="E1296" s="561"/>
    </row>
    <row r="1297" spans="1:5" x14ac:dyDescent="0.2">
      <c r="A1297" s="562" t="s">
        <v>1006</v>
      </c>
      <c r="B1297" s="560" t="s">
        <v>1007</v>
      </c>
      <c r="C1297" s="560">
        <v>2600</v>
      </c>
      <c r="D1297" s="560">
        <v>6900</v>
      </c>
      <c r="E1297" s="561">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0"/>
      <c r="B1298" s="560"/>
      <c r="C1298" s="560"/>
      <c r="D1298" s="560"/>
      <c r="E1298" s="561"/>
    </row>
    <row r="1299" spans="1:5" x14ac:dyDescent="0.2">
      <c r="A1299" s="562" t="s">
        <v>1006</v>
      </c>
      <c r="B1299" s="560" t="s">
        <v>1007</v>
      </c>
      <c r="C1299" s="560">
        <v>2600</v>
      </c>
      <c r="D1299" s="569">
        <v>6700</v>
      </c>
      <c r="E1299" s="561">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2"/>
      <c r="B1300" s="560"/>
      <c r="C1300" s="560"/>
      <c r="D1300" s="569"/>
      <c r="E1300" s="561"/>
    </row>
    <row r="1301" spans="1:5" x14ac:dyDescent="0.2">
      <c r="A1301" s="562"/>
      <c r="B1301" s="560"/>
      <c r="C1301" s="560"/>
      <c r="D1301" s="569"/>
      <c r="E1301" s="561"/>
    </row>
    <row r="1302" spans="1:5" x14ac:dyDescent="0.2">
      <c r="A1302" s="563" t="s">
        <v>1109</v>
      </c>
      <c r="B1302" s="563"/>
      <c r="C1302" s="563"/>
      <c r="D1302" s="563"/>
      <c r="E1302" s="565">
        <f>(E1292-E1293-E1294)-((E1295+E1296)-(E1297+E1298))-(E1299+E1300+E1301)</f>
        <v>0</v>
      </c>
    </row>
    <row r="1303" spans="1:5" x14ac:dyDescent="0.2">
      <c r="A1303" s="560" t="s">
        <v>1005</v>
      </c>
      <c r="B1303" s="560" t="s">
        <v>1007</v>
      </c>
      <c r="C1303" s="560">
        <v>3100</v>
      </c>
      <c r="D1303" s="560">
        <v>6000</v>
      </c>
      <c r="E1303" s="561">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0" t="s">
        <v>1005</v>
      </c>
      <c r="B1304" s="560" t="s">
        <v>1007</v>
      </c>
      <c r="C1304" s="560">
        <v>3100</v>
      </c>
      <c r="D1304" s="560">
        <v>6900</v>
      </c>
      <c r="E1304" s="561">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0" t="s">
        <v>1005</v>
      </c>
      <c r="B1305" s="560" t="s">
        <v>1007</v>
      </c>
      <c r="C1305" s="560">
        <v>3100</v>
      </c>
      <c r="D1305" s="569">
        <v>6700</v>
      </c>
      <c r="E1305" s="561">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2" t="s">
        <v>1006</v>
      </c>
      <c r="B1306" s="560" t="s">
        <v>1007</v>
      </c>
      <c r="C1306" s="560">
        <v>3100</v>
      </c>
      <c r="D1306" s="560">
        <v>6000</v>
      </c>
      <c r="E1306" s="561">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0"/>
      <c r="B1307" s="560"/>
      <c r="C1307" s="560"/>
      <c r="D1307" s="560"/>
      <c r="E1307" s="561"/>
    </row>
    <row r="1308" spans="1:5" x14ac:dyDescent="0.2">
      <c r="A1308" s="562" t="s">
        <v>1006</v>
      </c>
      <c r="B1308" s="560" t="s">
        <v>1007</v>
      </c>
      <c r="C1308" s="560">
        <v>3100</v>
      </c>
      <c r="D1308" s="560">
        <v>6900</v>
      </c>
      <c r="E1308" s="561">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0"/>
      <c r="B1309" s="560"/>
      <c r="C1309" s="560"/>
      <c r="D1309" s="560"/>
      <c r="E1309" s="561"/>
    </row>
    <row r="1310" spans="1:5" x14ac:dyDescent="0.2">
      <c r="A1310" s="562" t="s">
        <v>1006</v>
      </c>
      <c r="B1310" s="560" t="s">
        <v>1007</v>
      </c>
      <c r="C1310" s="560">
        <v>3100</v>
      </c>
      <c r="D1310" s="569">
        <v>6700</v>
      </c>
      <c r="E1310" s="561">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2"/>
      <c r="B1311" s="560"/>
      <c r="C1311" s="560"/>
      <c r="D1311" s="569"/>
      <c r="E1311" s="561"/>
    </row>
    <row r="1312" spans="1:5" x14ac:dyDescent="0.2">
      <c r="A1312" s="562"/>
      <c r="B1312" s="560"/>
      <c r="C1312" s="560"/>
      <c r="D1312" s="569"/>
      <c r="E1312" s="561"/>
    </row>
    <row r="1313" spans="1:5" x14ac:dyDescent="0.2">
      <c r="A1313" s="563" t="s">
        <v>1110</v>
      </c>
      <c r="B1313" s="563"/>
      <c r="C1313" s="563"/>
      <c r="D1313" s="563"/>
      <c r="E1313" s="565">
        <f>(E1303-E1304-E1305)-((E1306+E1307)-(E1308+E1309))-(E1310+E1311+E1312)</f>
        <v>0</v>
      </c>
    </row>
    <row r="1314" spans="1:5" x14ac:dyDescent="0.2">
      <c r="A1314" s="560"/>
      <c r="B1314" s="560"/>
      <c r="C1314" s="560"/>
      <c r="D1314" s="560"/>
      <c r="E1314" s="561"/>
    </row>
    <row r="1315" spans="1:5" x14ac:dyDescent="0.2">
      <c r="A1315" s="560"/>
      <c r="B1315" s="560"/>
      <c r="C1315" s="560"/>
      <c r="D1315" s="560"/>
      <c r="E1315" s="561"/>
    </row>
    <row r="1316" spans="1:5" x14ac:dyDescent="0.2">
      <c r="A1316" s="560"/>
      <c r="B1316" s="560"/>
      <c r="C1316" s="560"/>
      <c r="D1316" s="569"/>
      <c r="E1316" s="561"/>
    </row>
    <row r="1317" spans="1:5" x14ac:dyDescent="0.2">
      <c r="A1317" s="562"/>
      <c r="B1317" s="560"/>
      <c r="C1317" s="560"/>
      <c r="D1317" s="560"/>
      <c r="E1317" s="561"/>
    </row>
    <row r="1318" spans="1:5" x14ac:dyDescent="0.2">
      <c r="A1318" s="560"/>
      <c r="B1318" s="560"/>
      <c r="C1318" s="560"/>
      <c r="D1318" s="560"/>
      <c r="E1318" s="561"/>
    </row>
    <row r="1319" spans="1:5" x14ac:dyDescent="0.2">
      <c r="A1319" s="562"/>
      <c r="B1319" s="560"/>
      <c r="C1319" s="560"/>
      <c r="D1319" s="560"/>
      <c r="E1319" s="561"/>
    </row>
    <row r="1320" spans="1:5" x14ac:dyDescent="0.2">
      <c r="A1320" s="560"/>
      <c r="B1320" s="560"/>
      <c r="C1320" s="560"/>
      <c r="D1320" s="560"/>
      <c r="E1320" s="561"/>
    </row>
    <row r="1321" spans="1:5" x14ac:dyDescent="0.2">
      <c r="A1321" s="562"/>
      <c r="B1321" s="560"/>
      <c r="C1321" s="560"/>
      <c r="D1321" s="569"/>
      <c r="E1321" s="561"/>
    </row>
    <row r="1322" spans="1:5" x14ac:dyDescent="0.2">
      <c r="A1322" s="562"/>
      <c r="B1322" s="560"/>
      <c r="C1322" s="560"/>
      <c r="D1322" s="569"/>
      <c r="E1322" s="561"/>
    </row>
    <row r="1323" spans="1:5" x14ac:dyDescent="0.2">
      <c r="A1323" s="562"/>
      <c r="B1323" s="560"/>
      <c r="C1323" s="560"/>
      <c r="D1323" s="569"/>
      <c r="E1323" s="561"/>
    </row>
    <row r="1324" spans="1:5" x14ac:dyDescent="0.2">
      <c r="A1324" s="563"/>
      <c r="B1324" s="563"/>
      <c r="C1324" s="563"/>
      <c r="D1324" s="563"/>
      <c r="E1324" s="565"/>
    </row>
    <row r="1325" spans="1:5" x14ac:dyDescent="0.2">
      <c r="A1325" s="560" t="s">
        <v>1005</v>
      </c>
      <c r="B1325" s="560" t="s">
        <v>1007</v>
      </c>
      <c r="C1325" s="560">
        <v>3300</v>
      </c>
      <c r="D1325" s="560">
        <v>6000</v>
      </c>
      <c r="E1325" s="561">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
      <c r="A1326" s="560" t="s">
        <v>1005</v>
      </c>
      <c r="B1326" s="560" t="s">
        <v>1007</v>
      </c>
      <c r="C1326" s="560">
        <v>3300</v>
      </c>
      <c r="D1326" s="560">
        <v>6900</v>
      </c>
      <c r="E1326" s="561">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0" t="s">
        <v>1005</v>
      </c>
      <c r="B1327" s="560" t="s">
        <v>1007</v>
      </c>
      <c r="C1327" s="560">
        <v>3300</v>
      </c>
      <c r="D1327" s="569">
        <v>6700</v>
      </c>
      <c r="E1327" s="561">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2" t="s">
        <v>1006</v>
      </c>
      <c r="B1328" s="560" t="s">
        <v>1007</v>
      </c>
      <c r="C1328" s="560">
        <v>3300</v>
      </c>
      <c r="D1328" s="560">
        <v>6000</v>
      </c>
      <c r="E1328" s="561">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0"/>
      <c r="B1329" s="560"/>
      <c r="C1329" s="560"/>
      <c r="D1329" s="560"/>
      <c r="E1329" s="561"/>
    </row>
    <row r="1330" spans="1:5" x14ac:dyDescent="0.2">
      <c r="A1330" s="562" t="s">
        <v>1006</v>
      </c>
      <c r="B1330" s="560" t="s">
        <v>1007</v>
      </c>
      <c r="C1330" s="560">
        <v>3300</v>
      </c>
      <c r="D1330" s="560">
        <v>6900</v>
      </c>
      <c r="E1330" s="561">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0"/>
      <c r="B1331" s="560"/>
      <c r="C1331" s="560"/>
      <c r="D1331" s="560"/>
      <c r="E1331" s="561"/>
    </row>
    <row r="1332" spans="1:5" x14ac:dyDescent="0.2">
      <c r="A1332" s="562" t="s">
        <v>1006</v>
      </c>
      <c r="B1332" s="560" t="s">
        <v>1007</v>
      </c>
      <c r="C1332" s="560">
        <v>3300</v>
      </c>
      <c r="D1332" s="569">
        <v>6700</v>
      </c>
      <c r="E1332" s="561">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2"/>
      <c r="B1333" s="560"/>
      <c r="C1333" s="560"/>
      <c r="D1333" s="569"/>
      <c r="E1333" s="561"/>
    </row>
    <row r="1334" spans="1:5" x14ac:dyDescent="0.2">
      <c r="A1334" s="562"/>
      <c r="B1334" s="560"/>
      <c r="C1334" s="560"/>
      <c r="D1334" s="569"/>
      <c r="E1334" s="561"/>
    </row>
    <row r="1335" spans="1:5" x14ac:dyDescent="0.2">
      <c r="A1335" s="563" t="s">
        <v>1111</v>
      </c>
      <c r="B1335" s="563"/>
      <c r="C1335" s="563"/>
      <c r="D1335" s="563"/>
      <c r="E1335" s="565">
        <f>(E1325-E1326-E1327)-((E1328+E1329)-(E1330+E1331))-(E1332+E1333+E1334)</f>
        <v>0</v>
      </c>
    </row>
    <row r="1336" spans="1:5" x14ac:dyDescent="0.2">
      <c r="A1336" s="560" t="s">
        <v>1005</v>
      </c>
      <c r="B1336" s="560" t="s">
        <v>1007</v>
      </c>
      <c r="C1336" s="560">
        <v>3400</v>
      </c>
      <c r="D1336" s="560">
        <v>6000</v>
      </c>
      <c r="E1336" s="561">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0" t="s">
        <v>1005</v>
      </c>
      <c r="B1337" s="560" t="s">
        <v>1007</v>
      </c>
      <c r="C1337" s="560">
        <v>3400</v>
      </c>
      <c r="D1337" s="560">
        <v>6900</v>
      </c>
      <c r="E1337" s="561">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0" t="s">
        <v>1005</v>
      </c>
      <c r="B1338" s="560" t="s">
        <v>1007</v>
      </c>
      <c r="C1338" s="560">
        <v>3400</v>
      </c>
      <c r="D1338" s="569">
        <v>6700</v>
      </c>
      <c r="E1338" s="561">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2" t="s">
        <v>1006</v>
      </c>
      <c r="B1339" s="560" t="s">
        <v>1007</v>
      </c>
      <c r="C1339" s="560">
        <v>3400</v>
      </c>
      <c r="D1339" s="560">
        <v>6000</v>
      </c>
      <c r="E1339" s="561">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0"/>
      <c r="B1340" s="560"/>
      <c r="C1340" s="560"/>
      <c r="D1340" s="560"/>
      <c r="E1340" s="561"/>
    </row>
    <row r="1341" spans="1:5" x14ac:dyDescent="0.2">
      <c r="A1341" s="562" t="s">
        <v>1006</v>
      </c>
      <c r="B1341" s="560" t="s">
        <v>1007</v>
      </c>
      <c r="C1341" s="560">
        <v>3400</v>
      </c>
      <c r="D1341" s="560">
        <v>6900</v>
      </c>
      <c r="E1341" s="561">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0"/>
      <c r="B1342" s="560"/>
      <c r="C1342" s="560"/>
      <c r="D1342" s="560"/>
      <c r="E1342" s="561"/>
    </row>
    <row r="1343" spans="1:5" x14ac:dyDescent="0.2">
      <c r="A1343" s="562" t="s">
        <v>1006</v>
      </c>
      <c r="B1343" s="560" t="s">
        <v>1007</v>
      </c>
      <c r="C1343" s="560">
        <v>3400</v>
      </c>
      <c r="D1343" s="569">
        <v>6700</v>
      </c>
      <c r="E1343" s="561">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2"/>
      <c r="B1344" s="560"/>
      <c r="C1344" s="560"/>
      <c r="D1344" s="569"/>
      <c r="E1344" s="561"/>
    </row>
    <row r="1345" spans="1:5" x14ac:dyDescent="0.2">
      <c r="A1345" s="562"/>
      <c r="B1345" s="560"/>
      <c r="C1345" s="560"/>
      <c r="D1345" s="569"/>
      <c r="E1345" s="561"/>
    </row>
    <row r="1346" spans="1:5" x14ac:dyDescent="0.2">
      <c r="A1346" s="563" t="s">
        <v>1112</v>
      </c>
      <c r="B1346" s="563"/>
      <c r="C1346" s="563"/>
      <c r="D1346" s="563"/>
      <c r="E1346" s="565">
        <f>(E1336-E1337-E1338)-((E1339+E1340)-(E1341+E1342))-(E1343+E1344+E1345)</f>
        <v>0</v>
      </c>
    </row>
    <row r="1347" spans="1:5" x14ac:dyDescent="0.2">
      <c r="A1347" s="560" t="s">
        <v>1005</v>
      </c>
      <c r="B1347" s="560" t="s">
        <v>1007</v>
      </c>
      <c r="C1347" s="560">
        <v>4000</v>
      </c>
      <c r="D1347" s="560">
        <v>6000</v>
      </c>
      <c r="E1347" s="561">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0" t="s">
        <v>1005</v>
      </c>
      <c r="B1348" s="560" t="s">
        <v>1007</v>
      </c>
      <c r="C1348" s="560">
        <v>4000</v>
      </c>
      <c r="D1348" s="560">
        <v>6900</v>
      </c>
      <c r="E1348" s="561">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0" t="s">
        <v>1005</v>
      </c>
      <c r="B1349" s="560" t="s">
        <v>1007</v>
      </c>
      <c r="C1349" s="560">
        <v>4000</v>
      </c>
      <c r="D1349" s="569">
        <v>6700</v>
      </c>
      <c r="E1349" s="561">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2" t="s">
        <v>1006</v>
      </c>
      <c r="B1350" s="560" t="s">
        <v>1007</v>
      </c>
      <c r="C1350" s="560">
        <v>4000</v>
      </c>
      <c r="D1350" s="560">
        <v>6000</v>
      </c>
      <c r="E1350" s="561">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0"/>
      <c r="B1351" s="560"/>
      <c r="C1351" s="560"/>
      <c r="D1351" s="560"/>
      <c r="E1351" s="561"/>
    </row>
    <row r="1352" spans="1:5" x14ac:dyDescent="0.2">
      <c r="A1352" s="562" t="s">
        <v>1006</v>
      </c>
      <c r="B1352" s="560" t="s">
        <v>1007</v>
      </c>
      <c r="C1352" s="560">
        <v>4000</v>
      </c>
      <c r="D1352" s="560">
        <v>6900</v>
      </c>
      <c r="E1352" s="561">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0"/>
      <c r="B1353" s="560"/>
      <c r="C1353" s="560"/>
      <c r="D1353" s="560"/>
      <c r="E1353" s="561"/>
    </row>
    <row r="1354" spans="1:5" x14ac:dyDescent="0.2">
      <c r="A1354" s="562" t="s">
        <v>1006</v>
      </c>
      <c r="B1354" s="560" t="s">
        <v>1007</v>
      </c>
      <c r="C1354" s="560">
        <v>4000</v>
      </c>
      <c r="D1354" s="569">
        <v>6700</v>
      </c>
      <c r="E1354" s="561">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2"/>
      <c r="B1355" s="560"/>
      <c r="C1355" s="560"/>
      <c r="D1355" s="569"/>
      <c r="E1355" s="561"/>
    </row>
    <row r="1356" spans="1:5" x14ac:dyDescent="0.2">
      <c r="A1356" s="562"/>
      <c r="B1356" s="560"/>
      <c r="C1356" s="560"/>
      <c r="D1356" s="569"/>
      <c r="E1356" s="561"/>
    </row>
    <row r="1357" spans="1:5" x14ac:dyDescent="0.2">
      <c r="A1357" s="563" t="s">
        <v>1113</v>
      </c>
      <c r="B1357" s="563"/>
      <c r="C1357" s="563"/>
      <c r="D1357" s="563"/>
      <c r="E1357" s="565">
        <f>(E1347-E1348-E1349)-((E1350+E1351)-(E1352+E1353))-(E1354+E1355+E1356)</f>
        <v>0</v>
      </c>
    </row>
    <row r="1358" spans="1:5" x14ac:dyDescent="0.2">
      <c r="A1358" s="560" t="s">
        <v>1005</v>
      </c>
      <c r="B1358" s="560" t="s">
        <v>1007</v>
      </c>
      <c r="C1358" s="560">
        <v>5000</v>
      </c>
      <c r="D1358" s="560">
        <v>6000</v>
      </c>
      <c r="E1358" s="561">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0" t="s">
        <v>1005</v>
      </c>
      <c r="B1359" s="560" t="s">
        <v>1007</v>
      </c>
      <c r="C1359" s="560">
        <v>5000</v>
      </c>
      <c r="D1359" s="560">
        <v>6900</v>
      </c>
      <c r="E1359" s="561">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0" t="s">
        <v>1005</v>
      </c>
      <c r="B1360" s="560" t="s">
        <v>1007</v>
      </c>
      <c r="C1360" s="560">
        <v>5000</v>
      </c>
      <c r="D1360" s="569">
        <v>6700</v>
      </c>
      <c r="E1360" s="561">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2" t="s">
        <v>1006</v>
      </c>
      <c r="B1361" s="560" t="s">
        <v>1007</v>
      </c>
      <c r="C1361" s="560">
        <v>5000</v>
      </c>
      <c r="D1361" s="560">
        <v>6000</v>
      </c>
      <c r="E1361" s="561">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0"/>
      <c r="B1362" s="560"/>
      <c r="C1362" s="560"/>
      <c r="D1362" s="560"/>
      <c r="E1362" s="561"/>
    </row>
    <row r="1363" spans="1:5" x14ac:dyDescent="0.2">
      <c r="A1363" s="562" t="s">
        <v>1006</v>
      </c>
      <c r="B1363" s="560" t="s">
        <v>1007</v>
      </c>
      <c r="C1363" s="560">
        <v>5000</v>
      </c>
      <c r="D1363" s="560">
        <v>6900</v>
      </c>
      <c r="E1363" s="561">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0"/>
      <c r="B1364" s="560"/>
      <c r="C1364" s="560"/>
      <c r="D1364" s="560"/>
      <c r="E1364" s="561"/>
    </row>
    <row r="1365" spans="1:5" x14ac:dyDescent="0.2">
      <c r="A1365" s="562" t="s">
        <v>1006</v>
      </c>
      <c r="B1365" s="560" t="s">
        <v>1007</v>
      </c>
      <c r="C1365" s="560">
        <v>5000</v>
      </c>
      <c r="D1365" s="569">
        <v>6700</v>
      </c>
      <c r="E1365" s="561">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2"/>
      <c r="B1366" s="560"/>
      <c r="C1366" s="560"/>
      <c r="D1366" s="569"/>
      <c r="E1366" s="561"/>
    </row>
    <row r="1367" spans="1:5" x14ac:dyDescent="0.2">
      <c r="A1367" s="562"/>
      <c r="B1367" s="560"/>
      <c r="C1367" s="560"/>
      <c r="D1367" s="569"/>
      <c r="E1367" s="561"/>
    </row>
    <row r="1368" spans="1:5" x14ac:dyDescent="0.2">
      <c r="A1368" s="563" t="s">
        <v>1114</v>
      </c>
      <c r="B1368" s="563"/>
      <c r="C1368" s="563"/>
      <c r="D1368" s="563"/>
      <c r="E1368" s="565">
        <f>(E1358-E1359-E1360)-((E1361+E1362)-(E1363+E1364))-(E1365+E1366+E1367)</f>
        <v>0</v>
      </c>
    </row>
    <row r="1369" spans="1:5" x14ac:dyDescent="0.2">
      <c r="A1369" s="566" t="s">
        <v>1115</v>
      </c>
      <c r="B1369" s="566"/>
      <c r="C1369" s="566"/>
      <c r="D1369" s="566"/>
      <c r="E1369" s="570">
        <f>E1225+E1236+E1247+E1258+E1269+E1280+E1291+E1302+E1313+E1324+E1335+E1346</f>
        <v>0</v>
      </c>
    </row>
    <row r="1370" spans="1:5" x14ac:dyDescent="0.2">
      <c r="A1370" s="562" t="s">
        <v>1021</v>
      </c>
      <c r="B1370" s="562">
        <v>700</v>
      </c>
      <c r="C1370" s="569">
        <v>1000</v>
      </c>
      <c r="D1370" s="560">
        <v>6000</v>
      </c>
      <c r="E1370" s="561">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2" t="s">
        <v>1021</v>
      </c>
      <c r="B1371" s="562">
        <v>800</v>
      </c>
      <c r="C1371" s="569">
        <v>1000</v>
      </c>
      <c r="D1371" s="560">
        <v>6000</v>
      </c>
      <c r="E1371" s="561">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2" t="s">
        <v>1021</v>
      </c>
      <c r="B1372" s="562">
        <v>900</v>
      </c>
      <c r="C1372" s="569">
        <v>1000</v>
      </c>
      <c r="D1372" s="560">
        <v>6000</v>
      </c>
      <c r="E1372" s="561">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2" t="s">
        <v>1021</v>
      </c>
      <c r="B1373" s="562">
        <v>700</v>
      </c>
      <c r="C1373" s="569">
        <v>2000</v>
      </c>
      <c r="D1373" s="560">
        <v>6000</v>
      </c>
      <c r="E1373" s="561">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2" t="s">
        <v>1021</v>
      </c>
      <c r="B1374" s="562">
        <v>800</v>
      </c>
      <c r="C1374" s="569">
        <v>2000</v>
      </c>
      <c r="D1374" s="560">
        <v>6000</v>
      </c>
      <c r="E1374" s="561">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2" t="s">
        <v>1021</v>
      </c>
      <c r="B1375" s="562">
        <v>900</v>
      </c>
      <c r="C1375" s="569">
        <v>2000</v>
      </c>
      <c r="D1375" s="560">
        <v>6000</v>
      </c>
      <c r="E1375" s="561">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2" t="s">
        <v>1021</v>
      </c>
      <c r="B1376" s="562">
        <v>700</v>
      </c>
      <c r="C1376" s="569">
        <v>3000</v>
      </c>
      <c r="D1376" s="560">
        <v>6000</v>
      </c>
      <c r="E1376" s="561">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2" t="s">
        <v>1021</v>
      </c>
      <c r="B1377" s="562">
        <v>800</v>
      </c>
      <c r="C1377" s="569">
        <v>3000</v>
      </c>
      <c r="D1377" s="560">
        <v>6000</v>
      </c>
      <c r="E1377" s="561">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2" t="s">
        <v>1021</v>
      </c>
      <c r="B1378" s="562">
        <v>900</v>
      </c>
      <c r="C1378" s="569">
        <v>3000</v>
      </c>
      <c r="D1378" s="560">
        <v>6000</v>
      </c>
      <c r="E1378" s="561">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2" t="s">
        <v>1021</v>
      </c>
      <c r="B1379" s="562">
        <v>700</v>
      </c>
      <c r="C1379" s="569">
        <v>1000</v>
      </c>
      <c r="D1379" s="560">
        <v>6900</v>
      </c>
      <c r="E1379" s="561">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2" t="s">
        <v>1021</v>
      </c>
      <c r="B1380" s="562">
        <v>800</v>
      </c>
      <c r="C1380" s="569">
        <v>1000</v>
      </c>
      <c r="D1380" s="560">
        <v>6900</v>
      </c>
      <c r="E1380" s="561">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2" t="s">
        <v>1021</v>
      </c>
      <c r="B1381" s="562">
        <v>900</v>
      </c>
      <c r="C1381" s="569">
        <v>1000</v>
      </c>
      <c r="D1381" s="560">
        <v>6900</v>
      </c>
      <c r="E1381" s="561">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2" t="s">
        <v>1021</v>
      </c>
      <c r="B1382" s="562">
        <v>700</v>
      </c>
      <c r="C1382" s="569">
        <v>2000</v>
      </c>
      <c r="D1382" s="560">
        <v>6900</v>
      </c>
      <c r="E1382" s="561">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2" t="s">
        <v>1021</v>
      </c>
      <c r="B1383" s="562">
        <v>800</v>
      </c>
      <c r="C1383" s="569">
        <v>2000</v>
      </c>
      <c r="D1383" s="560">
        <v>6900</v>
      </c>
      <c r="E1383" s="561">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2" t="s">
        <v>1021</v>
      </c>
      <c r="B1384" s="562">
        <v>900</v>
      </c>
      <c r="C1384" s="569">
        <v>2000</v>
      </c>
      <c r="D1384" s="560">
        <v>6900</v>
      </c>
      <c r="E1384" s="561">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2" t="s">
        <v>1021</v>
      </c>
      <c r="B1385" s="562">
        <v>700</v>
      </c>
      <c r="C1385" s="569">
        <v>3000</v>
      </c>
      <c r="D1385" s="560">
        <v>6900</v>
      </c>
      <c r="E1385" s="561">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2" t="s">
        <v>1021</v>
      </c>
      <c r="B1386" s="562">
        <v>800</v>
      </c>
      <c r="C1386" s="569">
        <v>3000</v>
      </c>
      <c r="D1386" s="560">
        <v>6900</v>
      </c>
      <c r="E1386" s="561">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2" t="s">
        <v>1021</v>
      </c>
      <c r="B1387" s="562">
        <v>900</v>
      </c>
      <c r="C1387" s="569">
        <v>3000</v>
      </c>
      <c r="D1387" s="560">
        <v>6900</v>
      </c>
      <c r="E1387" s="561">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3" t="s">
        <v>1116</v>
      </c>
      <c r="B1388" s="563"/>
      <c r="C1388" s="563"/>
      <c r="D1388" s="563"/>
      <c r="E1388" s="565">
        <f>(E1370+E1371+E1372+E1373+E1374+E1375+E1376+E1377+E1378)-(E1379+E1380+E1381+E1382+E1383+E1384+E1385+E1386+E1387)</f>
        <v>0</v>
      </c>
    </row>
    <row r="1389" spans="1:5" x14ac:dyDescent="0.2">
      <c r="A1389" s="573"/>
      <c r="B1389" s="573"/>
      <c r="C1389" s="573"/>
      <c r="D1389" s="573"/>
      <c r="E1389" s="574"/>
    </row>
    <row r="1390" spans="1:5" x14ac:dyDescent="0.2">
      <c r="A1390" s="573"/>
      <c r="B1390" s="573"/>
      <c r="C1390" s="573"/>
      <c r="D1390" s="573"/>
      <c r="E1390" s="574"/>
    </row>
    <row r="1391" spans="1:5" x14ac:dyDescent="0.2">
      <c r="A1391" s="573"/>
      <c r="B1391" s="573"/>
      <c r="C1391" s="573"/>
      <c r="D1391" s="573"/>
      <c r="E1391" s="574"/>
    </row>
    <row r="1392" spans="1:5" x14ac:dyDescent="0.2">
      <c r="A1392" s="573"/>
      <c r="B1392" s="573"/>
      <c r="C1392" s="573"/>
      <c r="D1392" s="573"/>
      <c r="E1392" s="574"/>
    </row>
    <row r="1393" spans="1:5" x14ac:dyDescent="0.2">
      <c r="A1393" s="573"/>
      <c r="B1393" s="573"/>
      <c r="C1393" s="573"/>
      <c r="D1393" s="575"/>
      <c r="E1393" s="574"/>
    </row>
    <row r="1394" spans="1:5" x14ac:dyDescent="0.2">
      <c r="A1394" s="573"/>
      <c r="B1394" s="573"/>
      <c r="C1394" s="573"/>
      <c r="D1394" s="573"/>
      <c r="E1394" s="574"/>
    </row>
    <row r="1395" spans="1:5" x14ac:dyDescent="0.2">
      <c r="A1395" s="573"/>
      <c r="B1395" s="573"/>
      <c r="C1395" s="573"/>
      <c r="D1395" s="573"/>
      <c r="E1395" s="574"/>
    </row>
    <row r="1396" spans="1:5" x14ac:dyDescent="0.2">
      <c r="A1396" s="573"/>
      <c r="B1396" s="573"/>
      <c r="C1396" s="573"/>
      <c r="D1396" s="573"/>
      <c r="E1396" s="574"/>
    </row>
    <row r="1397" spans="1:5" x14ac:dyDescent="0.2">
      <c r="A1397" s="573"/>
      <c r="B1397" s="573"/>
      <c r="C1397" s="573"/>
      <c r="D1397" s="573"/>
      <c r="E1397" s="574"/>
    </row>
    <row r="1398" spans="1:5" x14ac:dyDescent="0.2">
      <c r="A1398" s="573"/>
      <c r="B1398" s="573"/>
      <c r="C1398" s="573"/>
      <c r="D1398" s="573"/>
      <c r="E1398" s="574"/>
    </row>
    <row r="1399" spans="1:5" x14ac:dyDescent="0.2">
      <c r="A1399" s="573"/>
      <c r="B1399" s="573"/>
      <c r="C1399" s="573"/>
      <c r="D1399" s="576"/>
      <c r="E1399" s="574"/>
    </row>
    <row r="1400" spans="1:5" x14ac:dyDescent="0.2">
      <c r="A1400" s="573"/>
      <c r="B1400" s="573"/>
      <c r="C1400" s="573"/>
      <c r="D1400" s="573"/>
      <c r="E1400" s="574"/>
    </row>
    <row r="1401" spans="1:5" x14ac:dyDescent="0.2">
      <c r="A1401" s="573"/>
      <c r="B1401" s="573"/>
      <c r="C1401" s="573"/>
      <c r="D1401" s="573"/>
      <c r="E1401" s="574"/>
    </row>
    <row r="1402" spans="1:5" x14ac:dyDescent="0.2">
      <c r="A1402" s="573"/>
      <c r="B1402" s="573"/>
      <c r="C1402" s="573"/>
      <c r="D1402" s="573"/>
      <c r="E1402" s="574"/>
    </row>
    <row r="1403" spans="1:5" x14ac:dyDescent="0.2">
      <c r="A1403" s="573"/>
      <c r="B1403" s="573"/>
      <c r="C1403" s="573"/>
      <c r="D1403" s="573"/>
      <c r="E1403" s="574"/>
    </row>
    <row r="1404" spans="1:5" x14ac:dyDescent="0.2">
      <c r="A1404" s="573"/>
      <c r="B1404" s="573"/>
      <c r="C1404" s="573"/>
      <c r="D1404" s="573"/>
      <c r="E1404" s="574"/>
    </row>
    <row r="1405" spans="1:5" x14ac:dyDescent="0.2">
      <c r="A1405" s="573"/>
      <c r="B1405" s="573"/>
      <c r="C1405" s="573"/>
      <c r="D1405" s="576"/>
      <c r="E1405" s="574"/>
    </row>
    <row r="1406" spans="1:5" x14ac:dyDescent="0.2">
      <c r="A1406" s="573"/>
      <c r="B1406" s="573"/>
      <c r="C1406" s="573"/>
      <c r="D1406" s="573"/>
      <c r="E1406" s="574"/>
    </row>
    <row r="1407" spans="1:5" x14ac:dyDescent="0.2">
      <c r="A1407" s="573"/>
      <c r="B1407" s="573"/>
      <c r="C1407" s="573"/>
      <c r="D1407" s="573"/>
      <c r="E1407" s="574"/>
    </row>
    <row r="1408" spans="1:5" x14ac:dyDescent="0.2">
      <c r="A1408" s="573"/>
      <c r="B1408" s="573"/>
      <c r="C1408" s="573"/>
      <c r="D1408" s="573"/>
      <c r="E1408" s="574"/>
    </row>
    <row r="1409" spans="1:5" x14ac:dyDescent="0.2">
      <c r="A1409" s="573"/>
      <c r="B1409" s="573"/>
      <c r="C1409" s="573"/>
      <c r="D1409" s="573"/>
      <c r="E1409" s="574"/>
    </row>
    <row r="1410" spans="1:5" x14ac:dyDescent="0.2">
      <c r="A1410" s="573"/>
      <c r="B1410" s="573"/>
      <c r="C1410" s="573"/>
      <c r="D1410" s="573"/>
      <c r="E1410" s="574"/>
    </row>
    <row r="1411" spans="1:5" x14ac:dyDescent="0.2">
      <c r="A1411" s="573"/>
      <c r="B1411" s="573"/>
      <c r="C1411" s="573"/>
      <c r="D1411" s="576"/>
      <c r="E1411" s="574"/>
    </row>
    <row r="1412" spans="1:5" x14ac:dyDescent="0.2">
      <c r="A1412" s="573"/>
      <c r="B1412" s="573"/>
      <c r="C1412" s="573"/>
      <c r="D1412" s="573"/>
      <c r="E1412" s="574"/>
    </row>
    <row r="1413" spans="1:5" x14ac:dyDescent="0.2">
      <c r="A1413" s="573"/>
      <c r="B1413" s="573"/>
      <c r="C1413" s="573"/>
      <c r="D1413" s="573"/>
      <c r="E1413" s="574"/>
    </row>
    <row r="1414" spans="1:5" x14ac:dyDescent="0.2">
      <c r="A1414" s="573"/>
      <c r="B1414" s="573"/>
      <c r="C1414" s="573"/>
      <c r="D1414" s="573"/>
      <c r="E1414" s="574"/>
    </row>
    <row r="1415" spans="1:5" x14ac:dyDescent="0.2">
      <c r="A1415" s="573"/>
      <c r="B1415" s="573"/>
      <c r="C1415" s="573"/>
      <c r="D1415" s="573"/>
      <c r="E1415" s="574"/>
    </row>
    <row r="1416" spans="1:5" x14ac:dyDescent="0.2">
      <c r="A1416" s="573"/>
      <c r="B1416" s="573"/>
      <c r="C1416" s="573"/>
      <c r="D1416" s="573"/>
      <c r="E1416" s="574"/>
    </row>
    <row r="1417" spans="1:5" x14ac:dyDescent="0.2">
      <c r="A1417" s="573"/>
      <c r="B1417" s="573"/>
      <c r="C1417" s="573"/>
      <c r="D1417" s="576"/>
      <c r="E1417" s="574"/>
    </row>
    <row r="1418" spans="1:5" x14ac:dyDescent="0.2">
      <c r="A1418" s="573"/>
      <c r="B1418" s="573"/>
      <c r="C1418" s="573"/>
      <c r="D1418" s="576"/>
      <c r="E1418" s="574"/>
    </row>
    <row r="1419" spans="1:5" x14ac:dyDescent="0.2">
      <c r="A1419" s="573"/>
      <c r="B1419" s="573"/>
      <c r="C1419" s="573"/>
      <c r="D1419" s="576"/>
      <c r="E1419" s="574"/>
    </row>
    <row r="1420" spans="1:5" x14ac:dyDescent="0.2">
      <c r="A1420" s="573"/>
      <c r="B1420" s="573"/>
      <c r="C1420" s="573"/>
      <c r="D1420" s="573"/>
      <c r="E1420" s="574"/>
    </row>
    <row r="1421" spans="1:5" x14ac:dyDescent="0.2">
      <c r="A1421" s="573"/>
      <c r="B1421" s="573"/>
      <c r="C1421" s="573"/>
      <c r="D1421" s="573"/>
      <c r="E1421" s="574"/>
    </row>
    <row r="1422" spans="1:5" x14ac:dyDescent="0.2">
      <c r="A1422" s="573"/>
      <c r="B1422" s="573"/>
      <c r="C1422" s="573"/>
      <c r="D1422" s="573"/>
      <c r="E1422" s="574"/>
    </row>
    <row r="1423" spans="1:5" x14ac:dyDescent="0.2">
      <c r="A1423" s="573"/>
      <c r="B1423" s="573"/>
      <c r="C1423" s="573"/>
      <c r="D1423" s="576"/>
      <c r="E1423" s="574"/>
    </row>
    <row r="1424" spans="1:5" x14ac:dyDescent="0.2">
      <c r="A1424" s="573"/>
      <c r="B1424" s="573"/>
      <c r="C1424" s="573"/>
      <c r="D1424" s="573"/>
      <c r="E1424" s="574"/>
    </row>
    <row r="1425" spans="1:5" x14ac:dyDescent="0.2">
      <c r="A1425" s="573"/>
      <c r="B1425" s="573"/>
      <c r="C1425" s="576"/>
      <c r="D1425" s="576"/>
      <c r="E1425" s="574"/>
    </row>
    <row r="1426" spans="1:5" x14ac:dyDescent="0.2">
      <c r="A1426" s="573"/>
      <c r="B1426" s="573"/>
      <c r="C1426" s="573"/>
      <c r="D1426" s="576"/>
      <c r="E1426" s="574"/>
    </row>
    <row r="1427" spans="1:5" x14ac:dyDescent="0.2">
      <c r="A1427" s="573"/>
      <c r="B1427" s="573"/>
      <c r="C1427" s="576"/>
      <c r="D1427" s="576"/>
      <c r="E1427" s="574"/>
    </row>
    <row r="1428" spans="1:5" x14ac:dyDescent="0.2">
      <c r="A1428" s="573"/>
      <c r="B1428" s="573"/>
      <c r="C1428" s="573"/>
      <c r="D1428" s="576"/>
      <c r="E1428" s="574"/>
    </row>
    <row r="1429" spans="1:5" x14ac:dyDescent="0.2">
      <c r="A1429" s="573"/>
      <c r="B1429" s="573"/>
      <c r="C1429" s="576"/>
      <c r="D1429" s="576"/>
      <c r="E1429" s="574"/>
    </row>
    <row r="1430" spans="1:5" x14ac:dyDescent="0.2">
      <c r="A1430" s="573"/>
      <c r="B1430" s="573"/>
      <c r="C1430" s="576"/>
      <c r="D1430" s="573"/>
      <c r="E1430" s="574"/>
    </row>
    <row r="1431" spans="1:5" x14ac:dyDescent="0.2">
      <c r="A1431" s="573"/>
      <c r="B1431" s="573"/>
      <c r="C1431" s="576"/>
      <c r="D1431" s="573"/>
      <c r="E1431" s="574"/>
    </row>
    <row r="1432" spans="1:5" x14ac:dyDescent="0.2">
      <c r="A1432" s="573"/>
      <c r="B1432" s="573"/>
      <c r="C1432" s="573"/>
      <c r="D1432" s="576"/>
      <c r="E1432" s="574"/>
    </row>
    <row r="1433" spans="1:5" x14ac:dyDescent="0.2">
      <c r="A1433" s="573"/>
      <c r="B1433" s="573"/>
      <c r="C1433" s="573"/>
      <c r="D1433" s="576"/>
      <c r="E1433" s="574"/>
    </row>
    <row r="1434" spans="1:5" x14ac:dyDescent="0.2">
      <c r="A1434" s="573"/>
      <c r="B1434" s="573"/>
      <c r="C1434" s="573"/>
      <c r="D1434" s="576"/>
      <c r="E1434" s="574"/>
    </row>
    <row r="1435" spans="1:5" x14ac:dyDescent="0.2">
      <c r="A1435" s="573"/>
      <c r="B1435" s="573"/>
      <c r="C1435" s="573"/>
      <c r="D1435" s="576"/>
      <c r="E1435" s="574"/>
    </row>
    <row r="1436" spans="1:5" x14ac:dyDescent="0.2">
      <c r="A1436" s="563"/>
      <c r="B1436" s="563"/>
      <c r="C1436" s="563"/>
      <c r="D1436" s="577"/>
      <c r="E1436" s="565"/>
    </row>
    <row r="1437" spans="1:5" x14ac:dyDescent="0.2">
      <c r="A1437" s="560" t="s">
        <v>1117</v>
      </c>
      <c r="B1437" s="560" t="s">
        <v>1005</v>
      </c>
      <c r="C1437" s="560" t="s">
        <v>1005</v>
      </c>
      <c r="D1437" s="560">
        <v>6000</v>
      </c>
      <c r="E1437" s="561">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3" t="s">
        <v>1118</v>
      </c>
      <c r="B1438" s="563"/>
      <c r="C1438" s="563"/>
      <c r="D1438" s="563"/>
      <c r="E1438" s="565">
        <f>E1437</f>
        <v>0</v>
      </c>
    </row>
    <row r="1439" spans="1:5" x14ac:dyDescent="0.2">
      <c r="A1439" s="560"/>
      <c r="B1439" s="560"/>
      <c r="C1439" s="560"/>
      <c r="D1439" s="569"/>
      <c r="E1439" s="561"/>
    </row>
    <row r="1440" spans="1:5" x14ac:dyDescent="0.2">
      <c r="A1440" s="560"/>
      <c r="B1440" s="560"/>
      <c r="C1440" s="560"/>
      <c r="D1440" s="569"/>
      <c r="E1440" s="561"/>
    </row>
    <row r="1441" spans="1:5" x14ac:dyDescent="0.2">
      <c r="A1441" s="578"/>
      <c r="B1441" s="578"/>
      <c r="C1441" s="578"/>
      <c r="D1441" s="578"/>
      <c r="E1441" s="579"/>
    </row>
    <row r="1442" spans="1:5" x14ac:dyDescent="0.2">
      <c r="A1442" s="560"/>
      <c r="B1442" s="560"/>
      <c r="C1442" s="560"/>
      <c r="D1442" s="569"/>
      <c r="E1442" s="560"/>
    </row>
    <row r="1443" spans="1:5" x14ac:dyDescent="0.2">
      <c r="A1443" s="560"/>
      <c r="B1443" s="560"/>
      <c r="C1443" s="560"/>
      <c r="D1443" s="569"/>
      <c r="E1443" s="560"/>
    </row>
    <row r="1444" spans="1:5" x14ac:dyDescent="0.2">
      <c r="A1444" s="578"/>
      <c r="B1444" s="578"/>
      <c r="C1444" s="578"/>
      <c r="D1444" s="578"/>
      <c r="E1444" s="578"/>
    </row>
    <row r="1445" spans="1:5" x14ac:dyDescent="0.2">
      <c r="A1445" s="560" t="s">
        <v>1005</v>
      </c>
      <c r="B1445" s="560" t="s">
        <v>1005</v>
      </c>
      <c r="C1445" s="560">
        <v>5000</v>
      </c>
      <c r="D1445" s="560">
        <v>6850</v>
      </c>
      <c r="E1445" s="561">
        <f>SUMIFS('Accounting data'!$G$2:$G$37000,'Accounting data'!$J$2:$J$37000,"5*",'Accounting data'!$K$2:$K$37000,"685*")</f>
        <v>0</v>
      </c>
    </row>
    <row r="1446" spans="1:5" x14ac:dyDescent="0.2">
      <c r="A1446" s="560" t="s">
        <v>1006</v>
      </c>
      <c r="B1446" s="560" t="s">
        <v>1005</v>
      </c>
      <c r="C1446" s="560">
        <v>5000</v>
      </c>
      <c r="D1446" s="560">
        <v>6850</v>
      </c>
      <c r="E1446" s="561">
        <f>SUMIFS('Accounting data'!$G$2:$G$37000,'Accounting data'!$H$2:$H$37000,"9999*",'Accounting data'!$J$2:$J$37000,"5*",'Accounting data'!$K$2:$K$37000,"685*")</f>
        <v>0</v>
      </c>
    </row>
    <row r="1447" spans="1:5" x14ac:dyDescent="0.2">
      <c r="A1447" s="560" t="s">
        <v>1005</v>
      </c>
      <c r="B1447" s="560" t="s">
        <v>1007</v>
      </c>
      <c r="C1447" s="560">
        <v>5000</v>
      </c>
      <c r="D1447" s="560">
        <v>6850</v>
      </c>
      <c r="E1447" s="561">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2" t="s">
        <v>1006</v>
      </c>
      <c r="B1448" s="560" t="s">
        <v>1007</v>
      </c>
      <c r="C1448" s="560">
        <v>5000</v>
      </c>
      <c r="D1448" s="560">
        <v>6850</v>
      </c>
      <c r="E1448" s="561">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3" t="s">
        <v>1119</v>
      </c>
      <c r="B1449" s="563"/>
      <c r="C1449" s="563"/>
      <c r="D1449" s="563"/>
      <c r="E1449" s="564">
        <f>(E1445-E1446-E1447)+E1448</f>
        <v>0</v>
      </c>
    </row>
    <row r="1450" spans="1:5" x14ac:dyDescent="0.2">
      <c r="A1450" s="560" t="s">
        <v>1005</v>
      </c>
      <c r="B1450" s="560" t="s">
        <v>1005</v>
      </c>
      <c r="C1450" s="560">
        <v>1000</v>
      </c>
      <c r="D1450" s="560">
        <v>6800</v>
      </c>
      <c r="E1450" s="561">
        <f t="array" ref="E1450">SUMIFS('Accounting data'!$G$2:$G$37000,'Accounting data'!$J$2:$J$37000,"1*",'Accounting data'!$K$2:$K$37000,"68*")</f>
        <v>9110</v>
      </c>
    </row>
    <row r="1451" spans="1:5" x14ac:dyDescent="0.2">
      <c r="A1451" s="560" t="s">
        <v>1006</v>
      </c>
      <c r="B1451" s="560" t="s">
        <v>1005</v>
      </c>
      <c r="C1451" s="560">
        <v>1000</v>
      </c>
      <c r="D1451" s="560">
        <v>6800</v>
      </c>
      <c r="E1451" s="561">
        <f t="array" ref="E1451">SUMIFS('Accounting data'!$G$2:$G$37000,'Accounting data'!$H$2:$H$37000,"9999*",'Accounting data'!$J$2:$J$37000,"1*",'Accounting data'!$K$2:$K$37000,"68*")</f>
        <v>0</v>
      </c>
    </row>
    <row r="1452" spans="1:5" x14ac:dyDescent="0.2">
      <c r="A1452" s="560" t="s">
        <v>1005</v>
      </c>
      <c r="B1452" s="560" t="s">
        <v>1007</v>
      </c>
      <c r="C1452" s="560">
        <v>1000</v>
      </c>
      <c r="D1452" s="560">
        <v>6800</v>
      </c>
      <c r="E1452" s="561">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2" t="s">
        <v>1006</v>
      </c>
      <c r="B1453" s="560" t="s">
        <v>1007</v>
      </c>
      <c r="C1453" s="560">
        <v>1000</v>
      </c>
      <c r="D1453" s="560">
        <v>6800</v>
      </c>
      <c r="E1453" s="561">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3" t="s">
        <v>1120</v>
      </c>
      <c r="B1454" s="563"/>
      <c r="C1454" s="563"/>
      <c r="D1454" s="563"/>
      <c r="E1454" s="564">
        <f>(E1450-E1451-E1452)+E1453</f>
        <v>9110</v>
      </c>
    </row>
    <row r="1455" spans="1:5" x14ac:dyDescent="0.2">
      <c r="A1455" s="560" t="s">
        <v>1005</v>
      </c>
      <c r="B1455" s="560" t="s">
        <v>1005</v>
      </c>
      <c r="C1455" s="560">
        <v>2100</v>
      </c>
      <c r="D1455" s="560">
        <v>6800</v>
      </c>
      <c r="E1455" s="561">
        <f t="array" ref="E1455">SUMIFS('Accounting data'!$G$2:$G$37000,'Accounting data'!$J$2:$J$37000,"21*",'Accounting data'!$K$2:$K$37000,"68*")</f>
        <v>878</v>
      </c>
    </row>
    <row r="1456" spans="1:5" x14ac:dyDescent="0.2">
      <c r="A1456" s="560" t="s">
        <v>1006</v>
      </c>
      <c r="B1456" s="560" t="s">
        <v>1005</v>
      </c>
      <c r="C1456" s="560">
        <v>2100</v>
      </c>
      <c r="D1456" s="560">
        <v>6800</v>
      </c>
      <c r="E1456" s="561">
        <f t="array" ref="E1456">SUMIFS('Accounting data'!$G$2:$G$37000,'Accounting data'!$H$2:$H$37000,"9999*",'Accounting data'!$J$2:$J$37000,"21*",'Accounting data'!$K$2:$K$37000,"68*")</f>
        <v>0</v>
      </c>
    </row>
    <row r="1457" spans="1:5" x14ac:dyDescent="0.2">
      <c r="A1457" s="560" t="s">
        <v>1005</v>
      </c>
      <c r="B1457" s="560" t="s">
        <v>1007</v>
      </c>
      <c r="C1457" s="560">
        <v>2100</v>
      </c>
      <c r="D1457" s="560">
        <v>6800</v>
      </c>
      <c r="E1457" s="561">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2" t="s">
        <v>1006</v>
      </c>
      <c r="B1458" s="560" t="s">
        <v>1007</v>
      </c>
      <c r="C1458" s="560">
        <v>2100</v>
      </c>
      <c r="D1458" s="560">
        <v>6800</v>
      </c>
      <c r="E1458" s="561">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3" t="s">
        <v>1121</v>
      </c>
      <c r="B1459" s="563"/>
      <c r="C1459" s="563"/>
      <c r="D1459" s="563"/>
      <c r="E1459" s="564">
        <f>(E1455-E1456-E1457)+E1458</f>
        <v>878</v>
      </c>
    </row>
    <row r="1460" spans="1:5" x14ac:dyDescent="0.2">
      <c r="A1460" s="560" t="s">
        <v>1005</v>
      </c>
      <c r="B1460" s="560" t="s">
        <v>1005</v>
      </c>
      <c r="C1460" s="560">
        <v>2200</v>
      </c>
      <c r="D1460" s="560">
        <v>6800</v>
      </c>
      <c r="E1460" s="561">
        <f t="array" ref="E1460">SUMIFS('Accounting data'!$G$2:$G$37000,'Accounting data'!$J$2:$J$37000,"22*",'Accounting data'!$K$2:$K$37000,"68*")</f>
        <v>255</v>
      </c>
    </row>
    <row r="1461" spans="1:5" x14ac:dyDescent="0.2">
      <c r="A1461" s="560" t="s">
        <v>1006</v>
      </c>
      <c r="B1461" s="560" t="s">
        <v>1005</v>
      </c>
      <c r="C1461" s="560">
        <v>2200</v>
      </c>
      <c r="D1461" s="560">
        <v>6800</v>
      </c>
      <c r="E1461" s="561">
        <f t="array" ref="E1461">SUMIFS('Accounting data'!$G$2:$G$37000,'Accounting data'!$H$2:$H$37000,"9999*",'Accounting data'!$J$2:$J$37000,"22*",'Accounting data'!$K$2:$K$37000,"68*")</f>
        <v>0</v>
      </c>
    </row>
    <row r="1462" spans="1:5" x14ac:dyDescent="0.2">
      <c r="A1462" s="560" t="s">
        <v>1005</v>
      </c>
      <c r="B1462" s="560" t="s">
        <v>1007</v>
      </c>
      <c r="C1462" s="560">
        <v>2200</v>
      </c>
      <c r="D1462" s="560">
        <v>6800</v>
      </c>
      <c r="E1462" s="561">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2" t="s">
        <v>1006</v>
      </c>
      <c r="B1463" s="560" t="s">
        <v>1007</v>
      </c>
      <c r="C1463" s="560">
        <v>2200</v>
      </c>
      <c r="D1463" s="560">
        <v>6800</v>
      </c>
      <c r="E1463" s="561">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3" t="s">
        <v>1122</v>
      </c>
      <c r="B1464" s="563"/>
      <c r="C1464" s="563"/>
      <c r="D1464" s="563"/>
      <c r="E1464" s="564">
        <f>(E1460-E1461-E1462)+E1463</f>
        <v>255</v>
      </c>
    </row>
    <row r="1465" spans="1:5" x14ac:dyDescent="0.2">
      <c r="A1465" s="560" t="s">
        <v>1005</v>
      </c>
      <c r="B1465" s="560" t="s">
        <v>1005</v>
      </c>
      <c r="C1465" s="560">
        <v>2300</v>
      </c>
      <c r="D1465" s="560">
        <v>6800</v>
      </c>
      <c r="E1465" s="561">
        <f t="array" ref="E1465">SUMIFS('Accounting data'!$G$2:$G$37000,'Accounting data'!$J$2:$J$37000,"23*",'Accounting data'!$K$2:$K$37000,"68*")</f>
        <v>2086</v>
      </c>
    </row>
    <row r="1466" spans="1:5" x14ac:dyDescent="0.2">
      <c r="A1466" s="560" t="s">
        <v>1006</v>
      </c>
      <c r="B1466" s="560" t="s">
        <v>1005</v>
      </c>
      <c r="C1466" s="560">
        <v>2300</v>
      </c>
      <c r="D1466" s="560">
        <v>6800</v>
      </c>
      <c r="E1466" s="561">
        <f t="array" ref="E1466">SUMIFS('Accounting data'!$G$2:$G$37000,'Accounting data'!$H$2:$H$37000,"9999*",'Accounting data'!$J$2:$J$37000,"23*",'Accounting data'!$K$2:$K$37000,"68*")</f>
        <v>0</v>
      </c>
    </row>
    <row r="1467" spans="1:5" x14ac:dyDescent="0.2">
      <c r="A1467" s="560" t="s">
        <v>1005</v>
      </c>
      <c r="B1467" s="560" t="s">
        <v>1007</v>
      </c>
      <c r="C1467" s="560">
        <v>2300</v>
      </c>
      <c r="D1467" s="560">
        <v>6800</v>
      </c>
      <c r="E1467" s="561">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2" t="s">
        <v>1006</v>
      </c>
      <c r="B1468" s="560" t="s">
        <v>1007</v>
      </c>
      <c r="C1468" s="560">
        <v>2300</v>
      </c>
      <c r="D1468" s="560">
        <v>6800</v>
      </c>
      <c r="E1468" s="561">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3" t="s">
        <v>1123</v>
      </c>
      <c r="B1469" s="563"/>
      <c r="C1469" s="563"/>
      <c r="D1469" s="563"/>
      <c r="E1469" s="564">
        <f>(E1465-E1466-E1467)+E1468</f>
        <v>2086</v>
      </c>
    </row>
    <row r="1470" spans="1:5" x14ac:dyDescent="0.2">
      <c r="A1470" s="560" t="s">
        <v>1005</v>
      </c>
      <c r="B1470" s="560" t="s">
        <v>1005</v>
      </c>
      <c r="C1470" s="560">
        <v>2400</v>
      </c>
      <c r="D1470" s="560">
        <v>6800</v>
      </c>
      <c r="E1470" s="561">
        <f t="array" ref="E1470">SUMIFS('Accounting data'!$G$2:$G$37000,'Accounting data'!$J$2:$J$37000,"24*",'Accounting data'!$K$2:$K$37000,"68*")</f>
        <v>2569</v>
      </c>
    </row>
    <row r="1471" spans="1:5" x14ac:dyDescent="0.2">
      <c r="A1471" s="560" t="s">
        <v>1006</v>
      </c>
      <c r="B1471" s="560" t="s">
        <v>1005</v>
      </c>
      <c r="C1471" s="560">
        <v>2400</v>
      </c>
      <c r="D1471" s="560">
        <v>6800</v>
      </c>
      <c r="E1471" s="561">
        <f t="array" ref="E1471">SUMIFS('Accounting data'!$G$2:$G$37000,'Accounting data'!$H$2:$H$37000,"9999*",'Accounting data'!$J$2:$J$37000,"24*",'Accounting data'!$K$2:$K$37000,"68*")</f>
        <v>0</v>
      </c>
    </row>
    <row r="1472" spans="1:5" x14ac:dyDescent="0.2">
      <c r="A1472" s="560" t="s">
        <v>1005</v>
      </c>
      <c r="B1472" s="560" t="s">
        <v>1007</v>
      </c>
      <c r="C1472" s="560">
        <v>2400</v>
      </c>
      <c r="D1472" s="560">
        <v>6800</v>
      </c>
      <c r="E1472" s="561">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2" t="s">
        <v>1006</v>
      </c>
      <c r="B1473" s="560" t="s">
        <v>1007</v>
      </c>
      <c r="C1473" s="560">
        <v>2400</v>
      </c>
      <c r="D1473" s="560">
        <v>6800</v>
      </c>
      <c r="E1473" s="561">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3" t="s">
        <v>1124</v>
      </c>
      <c r="B1474" s="563"/>
      <c r="C1474" s="563"/>
      <c r="D1474" s="563"/>
      <c r="E1474" s="564">
        <f>(E1470-E1471-E1472)+E1473</f>
        <v>2569</v>
      </c>
    </row>
    <row r="1475" spans="1:5" x14ac:dyDescent="0.2">
      <c r="A1475" s="560" t="s">
        <v>1005</v>
      </c>
      <c r="B1475" s="560" t="s">
        <v>1005</v>
      </c>
      <c r="C1475" s="560">
        <v>2500</v>
      </c>
      <c r="D1475" s="560">
        <v>6800</v>
      </c>
      <c r="E1475" s="561">
        <f t="array" ref="E1475">SUMIFS('Accounting data'!$G$2:$G$37000,'Accounting data'!$J$2:$J$37000,"25*",'Accounting data'!$K$2:$K$37000,"68*")</f>
        <v>161573</v>
      </c>
    </row>
    <row r="1476" spans="1:5" x14ac:dyDescent="0.2">
      <c r="A1476" s="560" t="s">
        <v>1006</v>
      </c>
      <c r="B1476" s="560" t="s">
        <v>1005</v>
      </c>
      <c r="C1476" s="560">
        <v>2500</v>
      </c>
      <c r="D1476" s="560">
        <v>6800</v>
      </c>
      <c r="E1476" s="561">
        <f t="array" ref="E1476">SUMIFS('Accounting data'!$G$2:$G$37000,'Accounting data'!$H$2:$H$37000,"9999*",'Accounting data'!$J$2:$J$37000,"25*",'Accounting data'!$K$2:$K$37000,"68*")</f>
        <v>0</v>
      </c>
    </row>
    <row r="1477" spans="1:5" x14ac:dyDescent="0.2">
      <c r="A1477" s="560" t="s">
        <v>1005</v>
      </c>
      <c r="B1477" s="560" t="s">
        <v>1007</v>
      </c>
      <c r="C1477" s="560">
        <v>2500</v>
      </c>
      <c r="D1477" s="560">
        <v>6800</v>
      </c>
      <c r="E1477" s="561">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2" t="s">
        <v>1006</v>
      </c>
      <c r="B1478" s="560" t="s">
        <v>1007</v>
      </c>
      <c r="C1478" s="560">
        <v>2500</v>
      </c>
      <c r="D1478" s="560">
        <v>6800</v>
      </c>
      <c r="E1478" s="561">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3" t="s">
        <v>1125</v>
      </c>
      <c r="B1479" s="563"/>
      <c r="C1479" s="563"/>
      <c r="D1479" s="563"/>
      <c r="E1479" s="564">
        <f>(E1475-E1476-E1477)+E1478</f>
        <v>161573</v>
      </c>
    </row>
    <row r="1480" spans="1:5" x14ac:dyDescent="0.2">
      <c r="A1480" s="560" t="s">
        <v>1005</v>
      </c>
      <c r="B1480" s="560" t="s">
        <v>1005</v>
      </c>
      <c r="C1480" s="560">
        <v>2900</v>
      </c>
      <c r="D1480" s="560">
        <v>6800</v>
      </c>
      <c r="E1480" s="561">
        <f t="array" ref="E1480">SUMIFS('Accounting data'!$G$2:$G$37000,'Accounting data'!$J$2:$J$37000,"29*",'Accounting data'!$K$2:$K$37000,"68*")</f>
        <v>0</v>
      </c>
    </row>
    <row r="1481" spans="1:5" x14ac:dyDescent="0.2">
      <c r="A1481" s="560" t="s">
        <v>1006</v>
      </c>
      <c r="B1481" s="560" t="s">
        <v>1005</v>
      </c>
      <c r="C1481" s="560">
        <v>2900</v>
      </c>
      <c r="D1481" s="560">
        <v>6800</v>
      </c>
      <c r="E1481" s="561">
        <f t="array" ref="E1481">SUMIFS('Accounting data'!$G$2:$G$37000,'Accounting data'!$H$2:$H$37000,"9999*",'Accounting data'!$J$2:$J$37000,"29*",'Accounting data'!$K$2:$K$37000,"68*")</f>
        <v>0</v>
      </c>
    </row>
    <row r="1482" spans="1:5" x14ac:dyDescent="0.2">
      <c r="A1482" s="560" t="s">
        <v>1005</v>
      </c>
      <c r="B1482" s="560" t="s">
        <v>1007</v>
      </c>
      <c r="C1482" s="560">
        <v>2900</v>
      </c>
      <c r="D1482" s="560">
        <v>6800</v>
      </c>
      <c r="E1482" s="561">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2" t="s">
        <v>1006</v>
      </c>
      <c r="B1483" s="560" t="s">
        <v>1007</v>
      </c>
      <c r="C1483" s="560">
        <v>2900</v>
      </c>
      <c r="D1483" s="560">
        <v>6800</v>
      </c>
      <c r="E1483" s="561">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3" t="s">
        <v>1126</v>
      </c>
      <c r="B1484" s="563"/>
      <c r="C1484" s="563"/>
      <c r="D1484" s="563"/>
      <c r="E1484" s="564">
        <f>(E1480-E1481-E1482)+E1483</f>
        <v>0</v>
      </c>
    </row>
    <row r="1485" spans="1:5" x14ac:dyDescent="0.2">
      <c r="A1485" s="560" t="s">
        <v>1005</v>
      </c>
      <c r="B1485" s="560" t="s">
        <v>1005</v>
      </c>
      <c r="C1485" s="560">
        <v>2600</v>
      </c>
      <c r="D1485" s="560">
        <v>6800</v>
      </c>
      <c r="E1485" s="561">
        <f t="array" ref="E1485">SUMIFS('Accounting data'!$G$2:$G$37000,'Accounting data'!$J$2:$J$37000,"26*",'Accounting data'!$K$2:$K$37000,"68*")</f>
        <v>2022</v>
      </c>
    </row>
    <row r="1486" spans="1:5" x14ac:dyDescent="0.2">
      <c r="A1486" s="560" t="s">
        <v>1006</v>
      </c>
      <c r="B1486" s="560" t="s">
        <v>1005</v>
      </c>
      <c r="C1486" s="560">
        <v>2600</v>
      </c>
      <c r="D1486" s="560">
        <v>6800</v>
      </c>
      <c r="E1486" s="561">
        <f t="array" ref="E1486">SUMIFS('Accounting data'!$G$2:$G$37000,'Accounting data'!$H$2:$H$37000,"9999*",'Accounting data'!$J$2:$J$37000,"26*",'Accounting data'!$K$2:$K$37000,"68*")</f>
        <v>0</v>
      </c>
    </row>
    <row r="1487" spans="1:5" x14ac:dyDescent="0.2">
      <c r="A1487" s="560" t="s">
        <v>1005</v>
      </c>
      <c r="B1487" s="560" t="s">
        <v>1007</v>
      </c>
      <c r="C1487" s="560">
        <v>2600</v>
      </c>
      <c r="D1487" s="560">
        <v>6800</v>
      </c>
      <c r="E1487" s="561">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2" t="s">
        <v>1006</v>
      </c>
      <c r="B1488" s="560" t="s">
        <v>1007</v>
      </c>
      <c r="C1488" s="560">
        <v>2600</v>
      </c>
      <c r="D1488" s="560">
        <v>6800</v>
      </c>
      <c r="E1488" s="561">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3" t="s">
        <v>1127</v>
      </c>
      <c r="B1489" s="563"/>
      <c r="C1489" s="563"/>
      <c r="D1489" s="563"/>
      <c r="E1489" s="564">
        <f>(E1485-E1486-E1487)+E1488</f>
        <v>2022</v>
      </c>
    </row>
    <row r="1490" spans="1:5" x14ac:dyDescent="0.2">
      <c r="A1490" s="560" t="s">
        <v>1005</v>
      </c>
      <c r="B1490" s="560" t="s">
        <v>1005</v>
      </c>
      <c r="C1490" s="560">
        <v>2700</v>
      </c>
      <c r="D1490" s="560">
        <v>6800</v>
      </c>
      <c r="E1490" s="561">
        <f t="array" ref="E1490">SUMIFS('Accounting data'!$G$2:$G$37000,'Accounting data'!$J$2:$J$37000,"27*",'Accounting data'!$K$2:$K$37000,"68*")</f>
        <v>0</v>
      </c>
    </row>
    <row r="1491" spans="1:5" x14ac:dyDescent="0.2">
      <c r="A1491" s="560" t="s">
        <v>1006</v>
      </c>
      <c r="B1491" s="560" t="s">
        <v>1005</v>
      </c>
      <c r="C1491" s="560">
        <v>2700</v>
      </c>
      <c r="D1491" s="560">
        <v>6800</v>
      </c>
      <c r="E1491" s="561">
        <f t="array" ref="E1491">SUMIFS('Accounting data'!$G$2:$G$37000,'Accounting data'!$H$2:$H$37000,"9999*",'Accounting data'!$J$2:$J$37000,"27*",'Accounting data'!$K$2:$K$37000,"68*")</f>
        <v>0</v>
      </c>
    </row>
    <row r="1492" spans="1:5" x14ac:dyDescent="0.2">
      <c r="A1492" s="560" t="s">
        <v>1005</v>
      </c>
      <c r="B1492" s="560" t="s">
        <v>1007</v>
      </c>
      <c r="C1492" s="560">
        <v>2700</v>
      </c>
      <c r="D1492" s="560">
        <v>6800</v>
      </c>
      <c r="E1492" s="561">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2" t="s">
        <v>1006</v>
      </c>
      <c r="B1493" s="560" t="s">
        <v>1007</v>
      </c>
      <c r="C1493" s="560">
        <v>2700</v>
      </c>
      <c r="D1493" s="560">
        <v>6800</v>
      </c>
      <c r="E1493" s="561">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3" t="s">
        <v>1128</v>
      </c>
      <c r="B1494" s="563"/>
      <c r="C1494" s="563"/>
      <c r="D1494" s="563"/>
      <c r="E1494" s="564">
        <f>(E1490-E1491-E1492)+E1493</f>
        <v>0</v>
      </c>
    </row>
    <row r="1495" spans="1:5" x14ac:dyDescent="0.2">
      <c r="A1495" s="560" t="s">
        <v>1005</v>
      </c>
      <c r="B1495" s="560" t="s">
        <v>1005</v>
      </c>
      <c r="C1495" s="560">
        <v>3100</v>
      </c>
      <c r="D1495" s="560">
        <v>6800</v>
      </c>
      <c r="E1495" s="561">
        <f t="array" ref="E1495">SUMIFS('Accounting data'!$G$2:$G$37000,'Accounting data'!$J$2:$J$37000,"31*",'Accounting data'!$K$2:$K$37000,"68*")</f>
        <v>1807</v>
      </c>
    </row>
    <row r="1496" spans="1:5" x14ac:dyDescent="0.2">
      <c r="A1496" s="560" t="s">
        <v>1006</v>
      </c>
      <c r="B1496" s="560" t="s">
        <v>1005</v>
      </c>
      <c r="C1496" s="560">
        <v>3100</v>
      </c>
      <c r="D1496" s="560">
        <v>6800</v>
      </c>
      <c r="E1496" s="561">
        <f t="array" ref="E1496">SUMIFS('Accounting data'!$G$2:$G$37000,'Accounting data'!$H$2:$H$37000,"9999*",'Accounting data'!$J$2:$J$37000,"31*",'Accounting data'!$K$2:$K$37000,"68*")</f>
        <v>0</v>
      </c>
    </row>
    <row r="1497" spans="1:5" x14ac:dyDescent="0.2">
      <c r="A1497" s="560" t="s">
        <v>1005</v>
      </c>
      <c r="B1497" s="560" t="s">
        <v>1007</v>
      </c>
      <c r="C1497" s="560">
        <v>3100</v>
      </c>
      <c r="D1497" s="560">
        <v>6800</v>
      </c>
      <c r="E1497" s="561">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2" t="s">
        <v>1006</v>
      </c>
      <c r="B1498" s="560" t="s">
        <v>1007</v>
      </c>
      <c r="C1498" s="560">
        <v>3100</v>
      </c>
      <c r="D1498" s="560">
        <v>6800</v>
      </c>
      <c r="E1498" s="561">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3" t="s">
        <v>1129</v>
      </c>
      <c r="B1499" s="563"/>
      <c r="C1499" s="563"/>
      <c r="D1499" s="563"/>
      <c r="E1499" s="564">
        <f>(E1495-E1496-E1497)+E1498</f>
        <v>1807</v>
      </c>
    </row>
    <row r="1500" spans="1:5" x14ac:dyDescent="0.2">
      <c r="A1500" s="560" t="s">
        <v>1005</v>
      </c>
      <c r="B1500" s="560" t="s">
        <v>1005</v>
      </c>
      <c r="C1500" s="560">
        <v>3400</v>
      </c>
      <c r="D1500" s="560">
        <v>6800</v>
      </c>
      <c r="E1500" s="561">
        <f t="array" ref="E1500">SUMIFS('Accounting data'!$G$2:$G$37000,'Accounting data'!$J$2:$J$37000,"34*",'Accounting data'!$K$2:$K$37000,"68*")</f>
        <v>0</v>
      </c>
    </row>
    <row r="1501" spans="1:5" x14ac:dyDescent="0.2">
      <c r="A1501" s="560" t="s">
        <v>1006</v>
      </c>
      <c r="B1501" s="560" t="s">
        <v>1005</v>
      </c>
      <c r="C1501" s="560">
        <v>3400</v>
      </c>
      <c r="D1501" s="560">
        <v>6800</v>
      </c>
      <c r="E1501" s="561">
        <f t="array" ref="E1501">SUMIFS('Accounting data'!$G$2:$G$37000,'Accounting data'!$H$2:$H$37000,"9999*",'Accounting data'!$J$2:$J$37000,"34*",'Accounting data'!$K$2:$K$37000,"68*")</f>
        <v>0</v>
      </c>
    </row>
    <row r="1502" spans="1:5" x14ac:dyDescent="0.2">
      <c r="A1502" s="560" t="s">
        <v>1005</v>
      </c>
      <c r="B1502" s="560" t="s">
        <v>1007</v>
      </c>
      <c r="C1502" s="560">
        <v>3400</v>
      </c>
      <c r="D1502" s="560">
        <v>6800</v>
      </c>
      <c r="E1502" s="561">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2" t="s">
        <v>1006</v>
      </c>
      <c r="B1503" s="560" t="s">
        <v>1007</v>
      </c>
      <c r="C1503" s="560">
        <v>3400</v>
      </c>
      <c r="D1503" s="560">
        <v>6800</v>
      </c>
      <c r="E1503" s="561">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3" t="s">
        <v>1130</v>
      </c>
      <c r="B1504" s="563"/>
      <c r="C1504" s="563"/>
      <c r="D1504" s="563"/>
      <c r="E1504" s="564">
        <f>(E1500-E1501-E1502)+E1503</f>
        <v>0</v>
      </c>
    </row>
    <row r="1505" spans="1:5" ht="15" x14ac:dyDescent="0.25">
      <c r="A1505" s="566" t="s">
        <v>1131</v>
      </c>
      <c r="B1505" s="566"/>
      <c r="C1505" s="566"/>
      <c r="D1505" s="566"/>
      <c r="E1505" s="567">
        <f>E1454+E1459+E1464+E1469+E1474+E1479+E1484+E1489+E1494+E1499+E1504</f>
        <v>180300</v>
      </c>
    </row>
    <row r="1506" spans="1:5" x14ac:dyDescent="0.2">
      <c r="A1506" s="560" t="s">
        <v>1021</v>
      </c>
      <c r="B1506" s="560" t="s">
        <v>1005</v>
      </c>
      <c r="C1506" s="560">
        <v>1000</v>
      </c>
      <c r="D1506" s="560">
        <v>6800</v>
      </c>
      <c r="E1506" s="561">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60" t="s">
        <v>1021</v>
      </c>
      <c r="B1507" s="560" t="s">
        <v>1005</v>
      </c>
      <c r="C1507" s="560">
        <v>2000</v>
      </c>
      <c r="D1507" s="560">
        <v>6800</v>
      </c>
      <c r="E1507" s="561">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0" t="s">
        <v>1021</v>
      </c>
      <c r="B1508" s="560" t="s">
        <v>1005</v>
      </c>
      <c r="C1508" s="560">
        <v>3000</v>
      </c>
      <c r="D1508" s="560">
        <v>6800</v>
      </c>
      <c r="E1508" s="561">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0" t="s">
        <v>1021</v>
      </c>
      <c r="B1509" s="562">
        <v>700</v>
      </c>
      <c r="C1509" s="560">
        <v>1000</v>
      </c>
      <c r="D1509" s="560">
        <v>6800</v>
      </c>
      <c r="E1509" s="561">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0" t="s">
        <v>1021</v>
      </c>
      <c r="B1510" s="562">
        <v>800</v>
      </c>
      <c r="C1510" s="560">
        <v>1000</v>
      </c>
      <c r="D1510" s="560">
        <v>6800</v>
      </c>
      <c r="E1510" s="561">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0" t="s">
        <v>1021</v>
      </c>
      <c r="B1511" s="562">
        <v>900</v>
      </c>
      <c r="C1511" s="560">
        <v>1000</v>
      </c>
      <c r="D1511" s="560">
        <v>6800</v>
      </c>
      <c r="E1511" s="561">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0" t="s">
        <v>1021</v>
      </c>
      <c r="B1512" s="562">
        <v>700</v>
      </c>
      <c r="C1512" s="560">
        <v>2000</v>
      </c>
      <c r="D1512" s="560">
        <v>6800</v>
      </c>
      <c r="E1512" s="561">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0" t="s">
        <v>1021</v>
      </c>
      <c r="B1513" s="562">
        <v>800</v>
      </c>
      <c r="C1513" s="560">
        <v>2000</v>
      </c>
      <c r="D1513" s="560">
        <v>6800</v>
      </c>
      <c r="E1513" s="561">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0" t="s">
        <v>1021</v>
      </c>
      <c r="B1514" s="562">
        <v>900</v>
      </c>
      <c r="C1514" s="560">
        <v>2000</v>
      </c>
      <c r="D1514" s="560">
        <v>6800</v>
      </c>
      <c r="E1514" s="561">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0" t="s">
        <v>1021</v>
      </c>
      <c r="B1515" s="562">
        <v>700</v>
      </c>
      <c r="C1515" s="560">
        <v>3000</v>
      </c>
      <c r="D1515" s="560">
        <v>6800</v>
      </c>
      <c r="E1515" s="561">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0" t="s">
        <v>1021</v>
      </c>
      <c r="B1516" s="562">
        <v>800</v>
      </c>
      <c r="C1516" s="560">
        <v>3000</v>
      </c>
      <c r="D1516" s="560">
        <v>6800</v>
      </c>
      <c r="E1516" s="561">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0" t="s">
        <v>1021</v>
      </c>
      <c r="B1517" s="562">
        <v>900</v>
      </c>
      <c r="C1517" s="560">
        <v>3000</v>
      </c>
      <c r="D1517" s="560">
        <v>6800</v>
      </c>
      <c r="E1517" s="561">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3" t="s">
        <v>1132</v>
      </c>
      <c r="B1518" s="563"/>
      <c r="C1518" s="563"/>
      <c r="D1518" s="563"/>
      <c r="E1518" s="580">
        <f>(E1506+E1507+E1508)-(E1509+E1510+E1511+E1512+E1513+E1514+E1515+E1516+E1517)</f>
        <v>0</v>
      </c>
    </row>
    <row r="1519" spans="1:5" x14ac:dyDescent="0.2">
      <c r="A1519" s="560" t="s">
        <v>1005</v>
      </c>
      <c r="B1519" s="560" t="s">
        <v>1005</v>
      </c>
      <c r="C1519" s="560">
        <v>4000</v>
      </c>
      <c r="D1519" s="560">
        <v>6800</v>
      </c>
      <c r="E1519" s="561">
        <f>SUMIFS('Accounting data'!G$2:G$37000,'Accounting data'!J$2:J$37000,"4*",'Accounting data'!K$2:K$37000,"68*")</f>
        <v>0</v>
      </c>
    </row>
    <row r="1520" spans="1:5" x14ac:dyDescent="0.2">
      <c r="A1520" s="560" t="s">
        <v>1006</v>
      </c>
      <c r="B1520" s="560" t="s">
        <v>1005</v>
      </c>
      <c r="C1520" s="560">
        <v>4000</v>
      </c>
      <c r="D1520" s="560">
        <v>6800</v>
      </c>
      <c r="E1520" s="561">
        <f t="array" ref="E1520">SUMIFS('Accounting data'!$G$2:$G$37000,'Accounting data'!$H$2:$H$37000,"9999*",'Accounting data'!$J$2:$J$37000,"4*",'Accounting data'!$K$2:$K$37000,"68*")</f>
        <v>0</v>
      </c>
    </row>
    <row r="1521" spans="1:5" x14ac:dyDescent="0.2">
      <c r="A1521" s="560" t="s">
        <v>1005</v>
      </c>
      <c r="B1521" s="560" t="s">
        <v>1007</v>
      </c>
      <c r="C1521" s="560">
        <v>4000</v>
      </c>
      <c r="D1521" s="560">
        <v>6800</v>
      </c>
      <c r="E1521" s="561">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2" t="s">
        <v>1006</v>
      </c>
      <c r="B1522" s="560" t="s">
        <v>1007</v>
      </c>
      <c r="C1522" s="560">
        <v>4000</v>
      </c>
      <c r="D1522" s="560">
        <v>6800</v>
      </c>
      <c r="E1522" s="561">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3" t="s">
        <v>1133</v>
      </c>
      <c r="B1523" s="563"/>
      <c r="C1523" s="563"/>
      <c r="D1523" s="563"/>
      <c r="E1523" s="564">
        <f>(E1519-E1520-E1521)+E1522</f>
        <v>0</v>
      </c>
    </row>
    <row r="1524" spans="1:5" x14ac:dyDescent="0.2">
      <c r="A1524" s="560" t="s">
        <v>1005</v>
      </c>
      <c r="B1524" s="560" t="s">
        <v>1005</v>
      </c>
      <c r="C1524" s="560">
        <v>1900</v>
      </c>
      <c r="D1524" s="560">
        <v>6100</v>
      </c>
      <c r="E1524" s="561">
        <f>SUMIFS('Accounting data'!$G$2:$G$37000,'Accounting data'!$J$2:$J$37000,"19*",'Accounting data'!$K$2:$K$37000,"61*")</f>
        <v>0</v>
      </c>
    </row>
    <row r="1525" spans="1:5" x14ac:dyDescent="0.2">
      <c r="A1525" s="560" t="s">
        <v>1006</v>
      </c>
      <c r="B1525" s="560" t="s">
        <v>1005</v>
      </c>
      <c r="C1525" s="560">
        <v>1900</v>
      </c>
      <c r="D1525" s="560">
        <v>6100</v>
      </c>
      <c r="E1525" s="561">
        <f>SUMIFS('Accounting data'!$G$2:$G$37000,'Accounting data'!$H$2:$H$37000,"9999*",'Accounting data'!$J$2:$J$37000,"19*",'Accounting data'!$K$2:$K$37000,"61*")</f>
        <v>0</v>
      </c>
    </row>
    <row r="1526" spans="1:5" x14ac:dyDescent="0.2">
      <c r="A1526" s="560" t="s">
        <v>1005</v>
      </c>
      <c r="B1526" s="560" t="s">
        <v>1007</v>
      </c>
      <c r="C1526" s="560">
        <v>1900</v>
      </c>
      <c r="D1526" s="560">
        <v>6100</v>
      </c>
      <c r="E1526" s="561">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2" t="s">
        <v>1006</v>
      </c>
      <c r="B1527" s="560" t="s">
        <v>1007</v>
      </c>
      <c r="C1527" s="560">
        <v>1900</v>
      </c>
      <c r="D1527" s="560">
        <v>6100</v>
      </c>
      <c r="E1527" s="561">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3" t="s">
        <v>1134</v>
      </c>
      <c r="B1528" s="563"/>
      <c r="C1528" s="563"/>
      <c r="D1528" s="563"/>
      <c r="E1528" s="580">
        <f>(E1524-E1525-E1526)+E1527</f>
        <v>0</v>
      </c>
    </row>
    <row r="1529" spans="1:5" x14ac:dyDescent="0.2">
      <c r="A1529" s="560" t="s">
        <v>1021</v>
      </c>
      <c r="B1529" s="560" t="s">
        <v>1005</v>
      </c>
      <c r="C1529" s="560">
        <v>1900</v>
      </c>
      <c r="D1529" s="560">
        <v>6100</v>
      </c>
      <c r="E1529" s="561">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0" t="s">
        <v>1021</v>
      </c>
      <c r="B1530" s="562">
        <v>700</v>
      </c>
      <c r="C1530" s="560">
        <v>1900</v>
      </c>
      <c r="D1530" s="560">
        <v>6100</v>
      </c>
      <c r="E1530" s="561">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0" t="s">
        <v>1021</v>
      </c>
      <c r="B1531" s="562">
        <v>800</v>
      </c>
      <c r="C1531" s="560">
        <v>1900</v>
      </c>
      <c r="D1531" s="560">
        <v>6100</v>
      </c>
      <c r="E1531" s="561">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0" t="s">
        <v>1021</v>
      </c>
      <c r="B1532" s="562">
        <v>900</v>
      </c>
      <c r="C1532" s="560">
        <v>1900</v>
      </c>
      <c r="D1532" s="560">
        <v>6100</v>
      </c>
      <c r="E1532" s="561">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3" t="s">
        <v>1135</v>
      </c>
      <c r="B1533" s="563"/>
      <c r="C1533" s="563"/>
      <c r="D1533" s="563"/>
      <c r="E1533" s="580">
        <f>E1529-(E1530+E1531+E1532)</f>
        <v>0</v>
      </c>
    </row>
    <row r="1534" spans="1:5" x14ac:dyDescent="0.2">
      <c r="A1534" s="566" t="s">
        <v>1136</v>
      </c>
      <c r="B1534" s="566"/>
      <c r="C1534" s="566"/>
      <c r="D1534" s="566"/>
      <c r="E1534" s="570">
        <f>E1528-E1533</f>
        <v>0</v>
      </c>
    </row>
    <row r="1535" spans="1:5" x14ac:dyDescent="0.2">
      <c r="A1535" s="581" t="s">
        <v>1005</v>
      </c>
      <c r="B1535" s="581" t="s">
        <v>1005</v>
      </c>
      <c r="C1535" s="581">
        <v>5000</v>
      </c>
      <c r="D1535" s="581">
        <v>6800</v>
      </c>
      <c r="E1535" s="582">
        <f>SUMIFS('Accounting data'!G$2:G$37000,'Accounting data'!J$2:J$37000,"5*",'Accounting data'!K$2:K$37000,"68*")</f>
        <v>0</v>
      </c>
    </row>
    <row r="1536" spans="1:5" x14ac:dyDescent="0.2">
      <c r="A1536" s="581" t="s">
        <v>1006</v>
      </c>
      <c r="B1536" s="581" t="s">
        <v>1005</v>
      </c>
      <c r="C1536" s="581">
        <v>5000</v>
      </c>
      <c r="D1536" s="581">
        <v>6800</v>
      </c>
      <c r="E1536" s="582">
        <f>SUMIFS('Accounting data'!$G$2:$G$37000,'Accounting data'!$H$2:$H$37000,"9999*",'Accounting data'!$J$2:$J$37000,"5*",'Accounting data'!$K$2:$K$37000,"68*")</f>
        <v>0</v>
      </c>
    </row>
    <row r="1537" spans="1:5" x14ac:dyDescent="0.2">
      <c r="A1537" s="581" t="s">
        <v>1005</v>
      </c>
      <c r="B1537" s="581" t="s">
        <v>1007</v>
      </c>
      <c r="C1537" s="581">
        <v>5000</v>
      </c>
      <c r="D1537" s="581">
        <v>6800</v>
      </c>
      <c r="E1537" s="582">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3" t="s">
        <v>1006</v>
      </c>
      <c r="B1538" s="581" t="s">
        <v>1007</v>
      </c>
      <c r="C1538" s="581">
        <v>5000</v>
      </c>
      <c r="D1538" s="581">
        <v>6800</v>
      </c>
      <c r="E1538" s="582">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4" t="s">
        <v>1137</v>
      </c>
      <c r="B1539" s="584"/>
      <c r="C1539" s="584"/>
      <c r="D1539" s="584"/>
      <c r="E1539" s="564">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activeCell="J10" sqref="J10:K10"/>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6" t="s">
        <v>0</v>
      </c>
      <c r="B1" s="716"/>
      <c r="C1" s="616" t="str">
        <f>'Cover Page'!D1</f>
        <v>ASU Preparatory Academy - Phoenix Middle School</v>
      </c>
      <c r="G1" s="57" t="s">
        <v>1</v>
      </c>
      <c r="H1" s="730" t="str">
        <f>'Cover Page'!M1</f>
        <v>Maricopa</v>
      </c>
      <c r="I1" s="730"/>
      <c r="L1" s="57" t="s">
        <v>2</v>
      </c>
      <c r="M1" s="729" t="str">
        <f>'Cover Page'!R1</f>
        <v>078250000</v>
      </c>
      <c r="N1" s="730"/>
    </row>
    <row r="2" spans="1:14" x14ac:dyDescent="0.2">
      <c r="F2" s="613"/>
      <c r="G2" s="613"/>
      <c r="H2" t="s">
        <v>20</v>
      </c>
    </row>
    <row r="3" spans="1:14" x14ac:dyDescent="0.2">
      <c r="A3" s="595" t="s">
        <v>21</v>
      </c>
      <c r="B3" s="595"/>
    </row>
    <row r="4" spans="1:14" x14ac:dyDescent="0.2">
      <c r="A4" s="595" t="s">
        <v>22</v>
      </c>
      <c r="H4" s="58" t="s">
        <v>23</v>
      </c>
      <c r="J4" s="59"/>
      <c r="K4" s="59"/>
      <c r="L4" s="59"/>
    </row>
    <row r="5" spans="1:14" x14ac:dyDescent="0.2">
      <c r="A5" s="3" t="s">
        <v>24</v>
      </c>
      <c r="B5" s="725" t="s">
        <v>25</v>
      </c>
      <c r="C5" s="725"/>
      <c r="D5" s="725"/>
      <c r="H5" s="598">
        <f>-(SUMIFS('Accounting data'!$G$2:$G$37000,'Accounting data'!$K$2:$K$37000,"1310*"))+SUMIFS('Accounting data'!$G$2:$G$37000,'Accounting data'!$H$2:$H$37000,"9999*",'Accounting data'!$K$2:$K$37000,"1310*")</f>
        <v>0</v>
      </c>
      <c r="I5" s="617" t="s">
        <v>24</v>
      </c>
      <c r="J5" s="59"/>
      <c r="K5" s="59"/>
      <c r="L5" s="59"/>
    </row>
    <row r="6" spans="1:14" x14ac:dyDescent="0.2">
      <c r="A6" s="3" t="s">
        <v>26</v>
      </c>
      <c r="B6" s="725" t="s">
        <v>27</v>
      </c>
      <c r="C6" s="725"/>
      <c r="D6" s="725"/>
      <c r="H6" s="598">
        <f>-(SUMIFS('Accounting data'!$G$2:$G$37000,'Accounting data'!$K$2:$K$37000,"1320*"))+SUMIFS('Accounting data'!$G$2:$G$37000,'Accounting data'!$H$2:$H$37000,"9999*",'Accounting data'!$K$2:$K$37000,"1320*")</f>
        <v>0</v>
      </c>
      <c r="I6" s="617" t="s">
        <v>26</v>
      </c>
      <c r="J6" s="59"/>
      <c r="K6" s="59"/>
      <c r="L6" s="59"/>
    </row>
    <row r="7" spans="1:14" ht="12.75" customHeight="1" x14ac:dyDescent="0.2">
      <c r="A7" s="3" t="s">
        <v>28</v>
      </c>
      <c r="B7" s="708" t="s">
        <v>29</v>
      </c>
      <c r="C7" s="708"/>
      <c r="D7" s="708"/>
      <c r="H7" s="598">
        <f>-(SUMIFS('Accounting data'!$G$2:$G$37000,'Accounting data'!$K$2:$K$37000,"1410*"))+SUMIFS('Accounting data'!$G$2:$G$37000,'Accounting data'!$H$2:$H$37000,"9999*",'Accounting data'!$K$2:$K$37000,"1410*")</f>
        <v>0</v>
      </c>
      <c r="I7" s="617" t="s">
        <v>28</v>
      </c>
      <c r="J7" s="731" t="s">
        <v>30</v>
      </c>
      <c r="K7" s="731"/>
      <c r="L7" s="59"/>
    </row>
    <row r="8" spans="1:14" x14ac:dyDescent="0.2">
      <c r="A8" s="3" t="s">
        <v>31</v>
      </c>
      <c r="B8" s="708" t="s">
        <v>32</v>
      </c>
      <c r="C8" s="708"/>
      <c r="D8" s="708"/>
      <c r="H8" s="598">
        <f>-(SUMIFS('Accounting data'!$G$2:$G$37000,'Accounting data'!$K$2:$K$37000,"1420*"))+SUMIFS('Accounting data'!$G$2:$G$37000,'Accounting data'!$H$2:$H$37000,"9999*",'Accounting data'!$K$2:$K$37000,"1420*")</f>
        <v>0</v>
      </c>
      <c r="I8" s="617" t="s">
        <v>31</v>
      </c>
      <c r="J8" s="731"/>
      <c r="K8" s="731"/>
      <c r="L8" s="59"/>
    </row>
    <row r="9" spans="1:14" x14ac:dyDescent="0.2">
      <c r="A9" s="3" t="s">
        <v>33</v>
      </c>
      <c r="B9" s="708" t="s">
        <v>34</v>
      </c>
      <c r="C9" s="708"/>
      <c r="H9" s="598">
        <f>-(SUMIFS('Accounting data'!$G$2:$G$37000,'Accounting data'!$K$2:$K$37000,"1500*"))+SUMIFS('Accounting data'!$G$2:$G$37000,'Accounting data'!$H$2:$H$37000,"9999*",'Accounting data'!$K$2:$K$37000,"1500*")</f>
        <v>12831</v>
      </c>
      <c r="I9" s="617" t="s">
        <v>33</v>
      </c>
      <c r="J9" s="731"/>
      <c r="K9" s="731"/>
      <c r="L9" s="59"/>
    </row>
    <row r="10" spans="1:14" x14ac:dyDescent="0.2">
      <c r="A10" s="60" t="s">
        <v>35</v>
      </c>
      <c r="B10" s="708" t="s">
        <v>36</v>
      </c>
      <c r="C10" s="708"/>
      <c r="H10" s="598">
        <f>'[2]Food Service AFR'!$E$7</f>
        <v>20252</v>
      </c>
      <c r="I10" s="617" t="s">
        <v>35</v>
      </c>
      <c r="J10" s="732">
        <f>-(SUMIFS('Accounting data'!$G$2:$G$37000,'Accounting data'!$K$2:$K$37000,"1600*"))+SUMIFS('Accounting data'!$G$2:$G$37000,'Accounting data'!$H$2:$H$37000,"9999*",'Accounting data'!$K$2:$K$37000,"1600*")</f>
        <v>20252</v>
      </c>
      <c r="K10" s="732"/>
      <c r="L10" s="59" t="str">
        <f>IF(H10&lt;&gt;J10,"The amount reported for 1600 food service revenue from the Food Service AFR does not agree to the amount in the Accounting Data Tab. Please verify the amounts and ensure they agree.","")</f>
        <v/>
      </c>
    </row>
    <row r="11" spans="1:14" x14ac:dyDescent="0.2">
      <c r="A11" s="3" t="s">
        <v>37</v>
      </c>
      <c r="B11" s="708" t="s">
        <v>38</v>
      </c>
      <c r="C11" s="708"/>
      <c r="H11" s="598">
        <f>-(SUMIFS('Accounting data'!$G$2:$G$37000,'Accounting data'!$K$2:$K$37000,"1700*"))+SUMIFS('Accounting data'!$G$2:$G$37000,'Accounting data'!$H$2:$H$37000,"9999*",'Accounting data'!$K$2:$K$37000,"1700*")</f>
        <v>4523</v>
      </c>
      <c r="I11" s="617" t="s">
        <v>37</v>
      </c>
      <c r="J11" s="59"/>
      <c r="K11" s="59"/>
      <c r="L11" s="59"/>
    </row>
    <row r="12" spans="1:14" x14ac:dyDescent="0.2">
      <c r="A12" s="61" t="s">
        <v>39</v>
      </c>
      <c r="B12" s="708" t="s">
        <v>40</v>
      </c>
      <c r="C12" s="708"/>
      <c r="D12" s="708"/>
      <c r="E12" s="708"/>
      <c r="F12" s="708"/>
      <c r="H12" s="598">
        <f>-(SUMIFS('Accounting data'!$G$2:$G$37000,'Accounting data'!$K$2:$K$37000,"1750*"))+SUMIFS('Accounting data'!$G$2:$G$37000,'Accounting data'!$H$2:$H$37000,"9999*",'Accounting data'!$K$2:$K$37000,"1750*")</f>
        <v>20</v>
      </c>
      <c r="I12" s="629" t="s">
        <v>39</v>
      </c>
      <c r="J12" s="59"/>
      <c r="K12" s="59"/>
      <c r="L12" s="59"/>
    </row>
    <row r="13" spans="1:14" x14ac:dyDescent="0.2">
      <c r="A13" s="62" t="s">
        <v>41</v>
      </c>
      <c r="B13" s="708" t="s">
        <v>42</v>
      </c>
      <c r="C13" s="708"/>
      <c r="H13" s="598">
        <f>-(SUMIFS('Accounting data'!$G$2:$G$37000,'Accounting data'!$K$2:$K$37000,"1790*"))+SUMIFS('Accounting data'!$G$2:$G$37000,'Accounting data'!$H$2:$H$37000,"9999*",'Accounting data'!$K$2:$K$37000,"1790*")</f>
        <v>1383</v>
      </c>
      <c r="I13" s="629" t="s">
        <v>41</v>
      </c>
      <c r="J13" s="63"/>
      <c r="K13" s="59"/>
      <c r="L13" s="59"/>
    </row>
    <row r="14" spans="1:14" x14ac:dyDescent="0.2">
      <c r="A14" s="62" t="s">
        <v>43</v>
      </c>
      <c r="B14" s="708" t="s">
        <v>44</v>
      </c>
      <c r="C14" s="708"/>
      <c r="H14" s="598">
        <f>-(SUMIFS('Accounting data'!$G$2:$G$37000,'Accounting data'!$K$2:$K$37000,"1800*"))+SUMIFS('Accounting data'!$G$2:$G$37000,'Accounting data'!$H$2:$H$37000,"9999*",'Accounting data'!$K$2:$K$37000,"1800*")</f>
        <v>0</v>
      </c>
      <c r="I14" s="629" t="s">
        <v>43</v>
      </c>
      <c r="J14" s="59"/>
      <c r="K14" s="59"/>
      <c r="L14" s="59"/>
    </row>
    <row r="15" spans="1:14" x14ac:dyDescent="0.2">
      <c r="A15" s="62" t="s">
        <v>45</v>
      </c>
      <c r="B15" t="s">
        <v>46</v>
      </c>
      <c r="H15" s="598">
        <f>-(SUMIFS('Accounting data'!$G$2:$G$37000,'Accounting data'!$K$2:$K$37000,"1900*"))+SUMIFS('Accounting data'!$G$2:$G$37000,'Accounting data'!$H$2:$H$37000,"9999*",'Accounting data'!$K$2:$K$37000,"1900*")</f>
        <v>0</v>
      </c>
      <c r="I15" s="629" t="s">
        <v>45</v>
      </c>
      <c r="J15" s="59"/>
      <c r="K15" s="59"/>
      <c r="L15" s="59"/>
    </row>
    <row r="16" spans="1:14" x14ac:dyDescent="0.2">
      <c r="A16" s="62" t="s">
        <v>47</v>
      </c>
      <c r="B16" s="708" t="s">
        <v>48</v>
      </c>
      <c r="C16" s="708"/>
      <c r="H16" s="598">
        <f>-(SUMIFS('Accounting data'!$G$2:$G$37000,'Accounting data'!$K$2:$K$37000,"1920*"))+SUMIFS('Accounting data'!$G$2:$G$37000,'Accounting data'!$H$2:$H$37000,"9999*",'Accounting data'!$K$2:$K$37000,"1920*")</f>
        <v>30748</v>
      </c>
      <c r="I16" s="629" t="s">
        <v>47</v>
      </c>
      <c r="J16" s="59"/>
      <c r="K16" s="59"/>
      <c r="L16" s="59"/>
    </row>
    <row r="17" spans="1:27" ht="15" x14ac:dyDescent="0.25">
      <c r="A17" s="62" t="s">
        <v>49</v>
      </c>
      <c r="B17" s="708" t="s">
        <v>50</v>
      </c>
      <c r="C17" s="708"/>
      <c r="D17" s="727"/>
      <c r="E17" s="728"/>
      <c r="F17" s="728"/>
      <c r="H17" s="598">
        <f>-(SUMIFS('Accounting data'!$G$2:$G$37000,'Accounting data'!$K$2:$K$37000,"Other Revenue from Local Sources"))+SUMIFS('Accounting data'!$G$2:$G$37000,'Accounting data'!$H$2:$H$37000,"9999*",'Accounting data'!$K$2:$K$37000,"Other Revenue from Local Sources")</f>
        <v>0</v>
      </c>
      <c r="I17" s="629" t="s">
        <v>49</v>
      </c>
      <c r="J17" s="59"/>
      <c r="K17" s="59"/>
      <c r="L17" s="59"/>
      <c r="AA17" s="46" t="str">
        <f>IF(OR(AND(D17="",H17&lt;&gt;0),AND(D22="",H22&lt;&gt;0),AND(D29="",H29&lt;&gt;0),AND(D37="",H37&lt;&gt;0)),"yes","")</f>
        <v/>
      </c>
    </row>
    <row r="18" spans="1:27" x14ac:dyDescent="0.2">
      <c r="A18" s="62" t="s">
        <v>51</v>
      </c>
      <c r="B18" s="708" t="s">
        <v>1159</v>
      </c>
      <c r="C18" s="708"/>
      <c r="H18" s="597">
        <f>SUM(H5:H17)</f>
        <v>69757</v>
      </c>
      <c r="I18" s="629" t="s">
        <v>51</v>
      </c>
      <c r="J18" s="59"/>
      <c r="K18" s="59"/>
      <c r="L18" s="59"/>
    </row>
    <row r="19" spans="1:27" x14ac:dyDescent="0.2">
      <c r="A19" s="595" t="s">
        <v>52</v>
      </c>
      <c r="B19" s="595"/>
      <c r="H19" s="24"/>
      <c r="I19" s="617" t="s">
        <v>20</v>
      </c>
      <c r="J19" s="59"/>
      <c r="K19" s="59"/>
      <c r="L19" s="59"/>
    </row>
    <row r="20" spans="1:27" x14ac:dyDescent="0.2">
      <c r="A20" s="62" t="s">
        <v>53</v>
      </c>
      <c r="B20" s="708" t="s">
        <v>54</v>
      </c>
      <c r="C20" s="708"/>
      <c r="H20" s="598">
        <f>-(SUMIFS('Accounting data'!$G$2:$G$37000,'Accounting data'!$K$2:$K$37000,"2100*"))+SUMIFS('Accounting data'!$G$2:$G$37000,'Accounting data'!$H$2:$H$37000,"9999*",'Accounting data'!$K$2:$K$37000,"2100*")</f>
        <v>0</v>
      </c>
      <c r="I20" s="629" t="s">
        <v>53</v>
      </c>
      <c r="J20" s="59"/>
      <c r="K20" s="59"/>
      <c r="L20" s="59"/>
    </row>
    <row r="21" spans="1:27" x14ac:dyDescent="0.2">
      <c r="A21" s="62" t="s">
        <v>55</v>
      </c>
      <c r="B21" s="708" t="s">
        <v>56</v>
      </c>
      <c r="C21" s="708"/>
      <c r="H21" s="598">
        <f>-(SUMIFS('Accounting data'!$G$2:$G$37000,'Accounting data'!$K$2:$K$37000,"2200*"))+SUMIFS('Accounting data'!$G$2:$G$37000,'Accounting data'!$H$2:$H$37000,"9999*",'Accounting data'!$K$2:$K$37000,"2200*")</f>
        <v>0</v>
      </c>
      <c r="I21" s="629" t="s">
        <v>55</v>
      </c>
      <c r="J21" s="59"/>
      <c r="K21" s="59"/>
      <c r="L21" s="59"/>
    </row>
    <row r="22" spans="1:27" ht="15" x14ac:dyDescent="0.25">
      <c r="A22" s="62" t="s">
        <v>57</v>
      </c>
      <c r="B22" s="708" t="s">
        <v>58</v>
      </c>
      <c r="C22" s="708"/>
      <c r="D22" s="727"/>
      <c r="E22" s="728"/>
      <c r="F22" s="728"/>
      <c r="H22" s="598">
        <f>-(SUMIFS('Accounting data'!$G$2:$G$37000,'Accounting data'!$K$2:$K$37000,"Other Revenue from Intermediate Sources"))+SUMIFS('Accounting data'!$G$2:$G$37000,'Accounting data'!$H$2:$H$37000,"9999*",'Accounting data'!$K$2:$K$37000,"Other Revenue from Intermediate Sources")</f>
        <v>0</v>
      </c>
      <c r="I22" s="629" t="s">
        <v>57</v>
      </c>
      <c r="J22" s="64"/>
      <c r="K22" s="64"/>
      <c r="L22" s="64"/>
      <c r="M22" s="65"/>
    </row>
    <row r="23" spans="1:27" x14ac:dyDescent="0.2">
      <c r="A23" s="62" t="s">
        <v>59</v>
      </c>
      <c r="B23" s="708" t="s">
        <v>1176</v>
      </c>
      <c r="C23" s="708"/>
      <c r="H23" s="597">
        <f>SUM(H20:H22)</f>
        <v>0</v>
      </c>
      <c r="I23" s="629" t="s">
        <v>59</v>
      </c>
      <c r="J23" s="59"/>
      <c r="K23" s="59"/>
      <c r="L23" s="59"/>
    </row>
    <row r="24" spans="1:27" x14ac:dyDescent="0.2">
      <c r="A24" s="595" t="s">
        <v>60</v>
      </c>
      <c r="B24" s="595"/>
      <c r="H24" s="24"/>
      <c r="I24" s="617"/>
      <c r="J24" s="59"/>
      <c r="K24" s="59"/>
      <c r="L24" s="59"/>
    </row>
    <row r="25" spans="1:27" x14ac:dyDescent="0.2">
      <c r="A25" s="62" t="s">
        <v>61</v>
      </c>
      <c r="B25" s="708" t="s">
        <v>62</v>
      </c>
      <c r="C25" s="708"/>
      <c r="H25" s="598">
        <f>-(SUMIFS('Accounting data'!$G$2:$G$37000,'Accounting data'!$K$2:$K$37000,"3110*"))+SUMIFS('Accounting data'!$G$2:$G$37000,'Accounting data'!$H$2:$H$37000,"9999*",'Accounting data'!$K$2:$K$37000,"3110*")</f>
        <v>3691311</v>
      </c>
      <c r="I25" s="629" t="s">
        <v>61</v>
      </c>
      <c r="J25" s="59"/>
      <c r="K25" s="59"/>
      <c r="L25" s="59"/>
    </row>
    <row r="26" spans="1:27" x14ac:dyDescent="0.2">
      <c r="A26" s="61" t="s">
        <v>63</v>
      </c>
      <c r="B26" s="708" t="s">
        <v>64</v>
      </c>
      <c r="C26" s="708"/>
      <c r="H26" s="598">
        <f>-(SUMIFS('Accounting data'!$G$2:$G$37000,'Accounting data'!$K$2:$K$37000,"3130*"))+SUMIFS('Accounting data'!$G$2:$G$37000,'Accounting data'!$H$2:$H$37000,"9999*",'Accounting data'!$K$2:$K$37000,"3130*")</f>
        <v>0</v>
      </c>
      <c r="I26" s="629" t="s">
        <v>63</v>
      </c>
      <c r="J26" s="59"/>
      <c r="K26" s="59"/>
      <c r="L26" s="59"/>
    </row>
    <row r="27" spans="1:27" x14ac:dyDescent="0.2">
      <c r="A27" s="60" t="s">
        <v>65</v>
      </c>
      <c r="B27" s="708" t="s">
        <v>66</v>
      </c>
      <c r="C27" s="708"/>
      <c r="H27" s="598">
        <f>-(SUMIFS('Accounting data'!$G$2:$G$37000,'Accounting data'!$K$2:$K$37000,"3200*"))+SUMIFS('Accounting data'!$G$2:$G$37000,'Accounting data'!$H$2:$H$37000,"9999*",'Accounting data'!$K$2:$K$37000,"3200*")</f>
        <v>433025</v>
      </c>
      <c r="I27" s="629" t="s">
        <v>65</v>
      </c>
      <c r="J27" s="64"/>
      <c r="K27" s="64"/>
      <c r="L27" s="64"/>
      <c r="M27" s="65"/>
    </row>
    <row r="28" spans="1:27" x14ac:dyDescent="0.2">
      <c r="A28" s="62" t="s">
        <v>67</v>
      </c>
      <c r="B28" s="708" t="s">
        <v>68</v>
      </c>
      <c r="C28" s="708"/>
      <c r="H28" s="598">
        <f>-(SUMIFS('Accounting data'!$G$2:$G$37000,'Accounting data'!$K$2:$K$37000,"3900*"))+SUMIFS('Accounting data'!$G$2:$G$37000,'Accounting data'!$H$2:$H$37000,"9999*",'Accounting data'!$K$2:$K$37000,"3900*")</f>
        <v>0</v>
      </c>
      <c r="I28" s="629" t="s">
        <v>67</v>
      </c>
      <c r="J28" s="59"/>
      <c r="K28" s="59"/>
      <c r="L28" s="59"/>
    </row>
    <row r="29" spans="1:27" ht="15" x14ac:dyDescent="0.25">
      <c r="A29" s="62" t="s">
        <v>69</v>
      </c>
      <c r="B29" s="708" t="s">
        <v>70</v>
      </c>
      <c r="C29" s="708"/>
      <c r="D29" s="727"/>
      <c r="E29" s="728"/>
      <c r="F29" s="728"/>
      <c r="H29" s="598">
        <f>-(SUMIFS('Accounting data'!$G$2:$G$37000,'Accounting data'!$K$2:$K$37000,"Other Revenue from State Sources"))+SUMIFS('Accounting data'!$G$2:$G$37000,'Accounting data'!$H$2:$H$37000,"9999*",'Accounting data'!$K$2:$K$37000,"Other Revenue from State Sources")</f>
        <v>0</v>
      </c>
      <c r="I29" s="629" t="s">
        <v>69</v>
      </c>
      <c r="J29" s="59"/>
      <c r="K29" s="59"/>
      <c r="L29" s="59"/>
    </row>
    <row r="30" spans="1:27" x14ac:dyDescent="0.2">
      <c r="A30" s="62" t="s">
        <v>71</v>
      </c>
      <c r="B30" s="708" t="s">
        <v>1177</v>
      </c>
      <c r="C30" s="708"/>
      <c r="H30" s="597">
        <f>SUM(H25:H29)</f>
        <v>4124336</v>
      </c>
      <c r="I30" s="629" t="s">
        <v>71</v>
      </c>
      <c r="J30" s="59"/>
      <c r="K30" s="59"/>
      <c r="L30" s="59"/>
    </row>
    <row r="31" spans="1:27" x14ac:dyDescent="0.2">
      <c r="A31" s="614" t="s">
        <v>72</v>
      </c>
      <c r="B31" s="595"/>
      <c r="H31" s="24"/>
      <c r="I31" s="617"/>
      <c r="J31" s="59"/>
      <c r="K31" s="59"/>
      <c r="L31" s="59"/>
    </row>
    <row r="32" spans="1:27" x14ac:dyDescent="0.2">
      <c r="A32" s="60" t="s">
        <v>73</v>
      </c>
      <c r="B32" s="708" t="s">
        <v>74</v>
      </c>
      <c r="C32" s="708"/>
      <c r="D32" s="708"/>
      <c r="E32" s="708"/>
      <c r="F32" s="708"/>
      <c r="H32" s="598">
        <f>-(SUMIFS('Accounting data'!$G$2:$G$37000,'Accounting data'!$K$2:$K$37000,"4100*"))+SUMIFS('Accounting data'!$G$2:$G$37000,'Accounting data'!$H$2:$H$37000,"9999*",'Accounting data'!$K$2:$K$37000,"4100*")</f>
        <v>0</v>
      </c>
      <c r="I32" s="629" t="s">
        <v>73</v>
      </c>
      <c r="J32" s="59"/>
      <c r="K32" s="59"/>
      <c r="L32" s="59"/>
      <c r="M32" s="594"/>
    </row>
    <row r="33" spans="1:12" x14ac:dyDescent="0.2">
      <c r="A33" s="60" t="s">
        <v>75</v>
      </c>
      <c r="B33" s="708" t="s">
        <v>76</v>
      </c>
      <c r="C33" s="708"/>
      <c r="D33" s="708"/>
      <c r="E33" s="708"/>
      <c r="F33" s="708"/>
      <c r="H33" s="598">
        <f>-(SUMIFS('Accounting data'!$G$2:$G$37000,'Accounting data'!$K$2:$K$37000,"4200*"))+SUMIFS('Accounting data'!$G$2:$G$37000,'Accounting data'!$H$2:$H$37000,"9999*",'Accounting data'!$K$2:$K$37000,"4200*")</f>
        <v>1035175</v>
      </c>
      <c r="I33" s="629" t="s">
        <v>75</v>
      </c>
      <c r="J33" s="64"/>
      <c r="K33" s="64"/>
      <c r="L33" s="59"/>
    </row>
    <row r="34" spans="1:12" x14ac:dyDescent="0.2">
      <c r="A34" s="62" t="s">
        <v>77</v>
      </c>
      <c r="B34" s="708" t="s">
        <v>78</v>
      </c>
      <c r="C34" s="708"/>
      <c r="D34" s="708"/>
      <c r="E34" s="708"/>
      <c r="F34" s="708"/>
      <c r="G34" s="708"/>
      <c r="H34" s="598">
        <f>-(SUMIFS('Accounting data'!$G$2:$G$37000,'Accounting data'!$K$2:$K$37000,"4700*"))+SUMIFS('Accounting data'!$G$2:$G$37000,'Accounting data'!$H$2:$H$37000,"9999*",'Accounting data'!$K$2:$K$37000,"4700*")</f>
        <v>0</v>
      </c>
      <c r="I34" s="629" t="s">
        <v>77</v>
      </c>
      <c r="J34" s="64"/>
      <c r="K34" s="64"/>
      <c r="L34" s="59"/>
    </row>
    <row r="35" spans="1:12" x14ac:dyDescent="0.2">
      <c r="A35" s="62" t="s">
        <v>79</v>
      </c>
      <c r="B35" s="617" t="s">
        <v>80</v>
      </c>
      <c r="H35" s="598">
        <f>-(SUMIFS('Accounting data'!$G$2:$G$37000,'Accounting data'!$K$2:$K$37000,"4800*"))+SUMIFS('Accounting data'!$G$2:$G$37000,'Accounting data'!$H$2:$H$37000,"9999*",'Accounting data'!$K$2:$K$37000,"4800*")</f>
        <v>0</v>
      </c>
      <c r="I35" s="629" t="s">
        <v>79</v>
      </c>
      <c r="J35" s="59"/>
      <c r="K35" s="59"/>
      <c r="L35" s="59"/>
    </row>
    <row r="36" spans="1:12" x14ac:dyDescent="0.2">
      <c r="A36" s="62" t="s">
        <v>81</v>
      </c>
      <c r="B36" s="708" t="s">
        <v>82</v>
      </c>
      <c r="C36" s="708"/>
      <c r="D36" s="708"/>
      <c r="E36" s="708"/>
      <c r="F36" s="708"/>
      <c r="G36" s="708"/>
      <c r="H36" s="598">
        <f>-(SUMIFS('Accounting data'!$G$2:$G$37000,'Accounting data'!$K$2:$K$37000,"4900*"))+SUMIFS('Accounting data'!$G$2:$G$37000,'Accounting data'!$H$2:$H$37000,"9999*",'Accounting data'!$K$2:$K$37000,"4900*")</f>
        <v>12516</v>
      </c>
      <c r="I36" s="629" t="s">
        <v>81</v>
      </c>
      <c r="J36" s="59"/>
      <c r="K36" s="59"/>
      <c r="L36" s="59"/>
    </row>
    <row r="37" spans="1:12" ht="15" x14ac:dyDescent="0.25">
      <c r="A37" s="62" t="s">
        <v>83</v>
      </c>
      <c r="B37" s="708" t="s">
        <v>84</v>
      </c>
      <c r="C37" s="708"/>
      <c r="D37" s="727"/>
      <c r="E37" s="728"/>
      <c r="F37" s="728"/>
      <c r="H37" s="598">
        <f>-(SUMIFS('Accounting data'!$G$2:$G$37000,'Accounting data'!$K$2:$K$37000,"Other Revenue from Federal Sources"))+SUMIFS('Accounting data'!$G$2:$G$37000,'Accounting data'!$H$2:$H$37000,"9999*",'Accounting data'!$K$2:$K$37000,"Other Revenue from Federal Sources")</f>
        <v>0</v>
      </c>
      <c r="I37" s="629" t="s">
        <v>83</v>
      </c>
      <c r="J37" s="59"/>
      <c r="K37" s="59"/>
      <c r="L37" s="59"/>
    </row>
    <row r="38" spans="1:12" x14ac:dyDescent="0.2">
      <c r="A38" s="62" t="s">
        <v>85</v>
      </c>
      <c r="B38" s="708" t="s">
        <v>1178</v>
      </c>
      <c r="C38" s="708"/>
      <c r="H38" s="678">
        <f>SUM(H32:H37)</f>
        <v>1047691</v>
      </c>
      <c r="I38" s="629" t="s">
        <v>85</v>
      </c>
      <c r="J38" s="59"/>
      <c r="K38" s="59"/>
      <c r="L38" s="59"/>
    </row>
    <row r="39" spans="1:12" x14ac:dyDescent="0.2">
      <c r="A39" s="3"/>
      <c r="B39" s="595"/>
      <c r="H39" s="24"/>
      <c r="I39" s="617"/>
      <c r="J39" s="59"/>
      <c r="K39" s="59"/>
      <c r="L39" s="59"/>
    </row>
    <row r="40" spans="1:12" x14ac:dyDescent="0.2">
      <c r="A40" s="66" t="s">
        <v>86</v>
      </c>
      <c r="B40" s="726" t="s">
        <v>87</v>
      </c>
      <c r="C40" s="726"/>
      <c r="D40" s="726"/>
      <c r="H40" s="598">
        <f>SUM(H18,H23,H30,H38)</f>
        <v>5241784</v>
      </c>
      <c r="I40" s="629" t="s">
        <v>86</v>
      </c>
      <c r="J40" s="59"/>
      <c r="K40" s="59"/>
      <c r="L40" s="59"/>
    </row>
    <row r="41" spans="1:12" x14ac:dyDescent="0.2">
      <c r="I41" s="67"/>
      <c r="J41" s="59"/>
      <c r="K41" s="59"/>
      <c r="L41" s="59"/>
    </row>
    <row r="42" spans="1:12" x14ac:dyDescent="0.2">
      <c r="I42" s="67"/>
      <c r="J42" s="59"/>
      <c r="K42" s="59"/>
      <c r="L42" s="59"/>
    </row>
    <row r="43" spans="1:12" x14ac:dyDescent="0.2">
      <c r="I43" s="67"/>
      <c r="J43" s="59"/>
      <c r="K43" s="59"/>
      <c r="L43" s="59"/>
    </row>
    <row r="44" spans="1:12" x14ac:dyDescent="0.2">
      <c r="I44" s="67"/>
      <c r="J44" s="59"/>
      <c r="K44" s="59"/>
      <c r="L44" s="59"/>
    </row>
    <row r="45" spans="1:12" x14ac:dyDescent="0.2">
      <c r="I45" s="67"/>
      <c r="J45" s="59"/>
      <c r="K45" s="59"/>
      <c r="L45" s="59"/>
    </row>
    <row r="46" spans="1:12" x14ac:dyDescent="0.2">
      <c r="I46" s="67"/>
      <c r="J46" s="59"/>
      <c r="K46" s="59"/>
      <c r="L46" s="59"/>
    </row>
    <row r="47" spans="1:12" x14ac:dyDescent="0.2">
      <c r="I47" s="67"/>
      <c r="J47" s="59"/>
      <c r="K47" s="59"/>
      <c r="L47" s="59"/>
    </row>
    <row r="48" spans="1:12" x14ac:dyDescent="0.2">
      <c r="I48" s="67"/>
      <c r="J48" s="59"/>
      <c r="K48" s="59"/>
      <c r="L48" s="59"/>
    </row>
    <row r="49" spans="9:12" x14ac:dyDescent="0.2">
      <c r="I49" s="67"/>
      <c r="J49" s="59"/>
      <c r="K49" s="59"/>
      <c r="L49" s="59"/>
    </row>
    <row r="50" spans="9:12" x14ac:dyDescent="0.2">
      <c r="I50" s="67"/>
      <c r="J50" s="59"/>
      <c r="K50" s="59"/>
      <c r="L50" s="59"/>
    </row>
  </sheetData>
  <sheetProtection formatCells="0" formatColumns="0" formatRows="0"/>
  <mergeCells count="40">
    <mergeCell ref="B29:C29"/>
    <mergeCell ref="B13:C13"/>
    <mergeCell ref="B14:C14"/>
    <mergeCell ref="B17:C17"/>
    <mergeCell ref="B26:C26"/>
    <mergeCell ref="B16:C16"/>
    <mergeCell ref="B23:C23"/>
    <mergeCell ref="B25:C25"/>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topLeftCell="A22"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5" t="s">
        <v>0</v>
      </c>
      <c r="B1" s="730" t="str">
        <f>'Cover Page'!D1</f>
        <v>ASU Preparatory Academy - Phoenix Middle School</v>
      </c>
      <c r="C1" s="730"/>
      <c r="F1" s="57" t="s">
        <v>1</v>
      </c>
      <c r="G1" s="616" t="str">
        <f>'Cover Page'!M1</f>
        <v>Maricopa</v>
      </c>
      <c r="J1" s="57"/>
      <c r="K1" s="57" t="s">
        <v>2</v>
      </c>
      <c r="L1" s="615" t="str">
        <f>'Cover Page'!R1</f>
        <v>078250000</v>
      </c>
    </row>
    <row r="2" spans="1:32" ht="3.75" customHeight="1" x14ac:dyDescent="0.2">
      <c r="L2" s="613"/>
    </row>
    <row r="3" spans="1:32" ht="15.75" customHeight="1" x14ac:dyDescent="0.2">
      <c r="A3" s="68"/>
      <c r="B3" s="69"/>
      <c r="C3" s="70"/>
      <c r="D3" s="68"/>
      <c r="E3" s="71" t="s">
        <v>88</v>
      </c>
      <c r="F3" s="620" t="s">
        <v>89</v>
      </c>
      <c r="G3" s="72"/>
      <c r="H3" s="73"/>
      <c r="I3" s="736" t="s">
        <v>90</v>
      </c>
      <c r="J3" s="736"/>
      <c r="K3" s="736"/>
      <c r="L3" s="733" t="s">
        <v>91</v>
      </c>
    </row>
    <row r="4" spans="1:32" ht="12" customHeight="1" x14ac:dyDescent="0.2">
      <c r="A4" s="74" t="s">
        <v>92</v>
      </c>
      <c r="C4" s="75"/>
      <c r="D4" s="76" t="s">
        <v>93</v>
      </c>
      <c r="E4" s="77" t="s">
        <v>94</v>
      </c>
      <c r="F4" s="78" t="s">
        <v>95</v>
      </c>
      <c r="G4" s="79" t="s">
        <v>96</v>
      </c>
      <c r="H4" s="76" t="s">
        <v>97</v>
      </c>
      <c r="I4" s="80"/>
      <c r="J4" s="80"/>
      <c r="K4" s="620" t="s">
        <v>98</v>
      </c>
      <c r="L4" s="734"/>
    </row>
    <row r="5" spans="1:32" ht="11.25" customHeight="1" x14ac:dyDescent="0.2">
      <c r="A5" s="81" t="s">
        <v>99</v>
      </c>
      <c r="B5" s="2"/>
      <c r="C5" s="82"/>
      <c r="D5" s="625">
        <v>6100</v>
      </c>
      <c r="E5" s="83">
        <v>6200</v>
      </c>
      <c r="F5" s="83" t="s">
        <v>100</v>
      </c>
      <c r="G5" s="626">
        <v>6600</v>
      </c>
      <c r="H5" s="625">
        <v>6800</v>
      </c>
      <c r="I5" s="619" t="s">
        <v>101</v>
      </c>
      <c r="J5" s="83" t="s">
        <v>23</v>
      </c>
      <c r="K5" s="83" t="s">
        <v>102</v>
      </c>
      <c r="L5" s="735"/>
    </row>
    <row r="6" spans="1:32" ht="12" customHeight="1" x14ac:dyDescent="0.2">
      <c r="A6" s="84" t="s">
        <v>103</v>
      </c>
      <c r="B6" s="69"/>
      <c r="C6" s="70"/>
      <c r="D6" s="85"/>
      <c r="E6" s="85"/>
      <c r="F6" s="85"/>
      <c r="G6" s="85"/>
      <c r="H6" s="85"/>
      <c r="I6" s="85"/>
      <c r="J6" s="85"/>
      <c r="K6" s="85"/>
      <c r="L6" s="740">
        <f>IF(J7=K7,0,IF(K7&gt;0,(J7-K7)/K7,"--"))</f>
        <v>0.47110000000000002</v>
      </c>
      <c r="S6" s="594"/>
    </row>
    <row r="7" spans="1:32" ht="12" customHeight="1" x14ac:dyDescent="0.2">
      <c r="A7" s="86" t="s">
        <v>104</v>
      </c>
      <c r="C7" s="87" t="s">
        <v>24</v>
      </c>
      <c r="D7" s="601">
        <f>SUMIFS('Accounting data'!$G$2:$G$37000,'Accounting data'!$H$2:$H$37000,"1000*",'Accounting data'!$I$2:$I$37000,"1*",'Accounting data'!$J$2:$J$37000,"1*",'Accounting data'!$K$2:$K$37000,"61*")+SUMIFS('Accounting data'!$G$2:$G$37000,'Accounting data'!$H$2:$H$37000,"1500*",'Accounting data'!$I$2:$I$37000,"1*",'Accounting data'!$J$2:$J$37000,"1*",'Accounting data'!$K$2:$K$37000,"61*")</f>
        <v>1132427</v>
      </c>
      <c r="E7" s="601">
        <f>SUMIFS('Accounting data'!$G$2:$G$37000,'Accounting data'!$H$2:$H$37000,"1000*",'Accounting data'!$I$2:$I$37000,"1*",'Accounting data'!$J$2:$J$37000,"1*",'Accounting data'!$K$2:$K$37000,"62*")+SUMIFS('Accounting data'!$G$2:$G$37000,'Accounting data'!$H$2:$H$37000,"1500*",'Accounting data'!$I$2:$I$37000,"1*",'Accounting data'!$J$2:$J$37000,"1*",'Accounting data'!$K$2:$K$37000,"62*")</f>
        <v>284436</v>
      </c>
      <c r="F7" s="601">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159772</v>
      </c>
      <c r="G7" s="601">
        <f>SUMIFS('Accounting data'!$G$2:$G$37000,'Accounting data'!$H$2:$H$37000,"1000*",'Accounting data'!$I$2:$I$37000,"1*",'Accounting data'!$J$2:$J$37000,"1*",'Accounting data'!$K$2:$K$37000,"66*")+SUMIFS('Accounting data'!$G$2:$G$37000,'Accounting data'!$H$2:$H$37000,"1500*",'Accounting data'!$I$2:$I$37000,"1*",'Accounting data'!$J$2:$J$37000,"1*",'Accounting data'!$K$2:$K$37000,"66*")</f>
        <v>51026</v>
      </c>
      <c r="H7" s="601">
        <f>SUMIFS('Accounting data'!$G$2:$G$37000,'Accounting data'!$H$2:$H$37000,"1000*",'Accounting data'!$I$2:$I$37000,"1*",'Accounting data'!$J$2:$J$37000,"1*",'Accounting data'!$K$2:$K$37000,"68*")+SUMIFS('Accounting data'!$G$2:$G$37000,'Accounting data'!$H$2:$H$37000,"1500*",'Accounting data'!$I$2:$I$37000,"1*",'Accounting data'!$J$2:$J$37000,"1*",'Accounting data'!$K$2:$K$37000,"68*")</f>
        <v>6883</v>
      </c>
      <c r="I7" s="601">
        <f>[3]!SP1000P100F1000</f>
        <v>1203155</v>
      </c>
      <c r="J7" s="601">
        <f>SUM(D7:H7)</f>
        <v>1634544</v>
      </c>
      <c r="K7" s="601">
        <f>[4]!SP1000P100F1000</f>
        <v>1111110</v>
      </c>
      <c r="L7" s="741"/>
      <c r="M7" s="88" t="s">
        <v>24</v>
      </c>
      <c r="S7" s="594"/>
    </row>
    <row r="8" spans="1:32" ht="12" customHeight="1" x14ac:dyDescent="0.2">
      <c r="A8" s="86" t="s">
        <v>105</v>
      </c>
      <c r="C8" s="75"/>
      <c r="D8" s="85"/>
      <c r="E8" s="85"/>
      <c r="F8" s="85"/>
      <c r="G8" s="89"/>
      <c r="H8" s="85"/>
      <c r="I8" s="85"/>
      <c r="J8" s="85"/>
      <c r="K8" s="85"/>
      <c r="L8" s="742">
        <f>IF(J9=K9,0,IF(K9&gt;0,(J9-K9)/K9,"--"))</f>
        <v>0.34150000000000003</v>
      </c>
      <c r="M8" s="617"/>
      <c r="S8" s="594"/>
    </row>
    <row r="9" spans="1:32" ht="12" customHeight="1" x14ac:dyDescent="0.2">
      <c r="A9" s="86" t="s">
        <v>106</v>
      </c>
      <c r="C9" s="87" t="s">
        <v>26</v>
      </c>
      <c r="D9" s="601">
        <f>SUMIFS('Accounting data'!$G$2:$G$37000,'Accounting data'!$H$2:$H$37000,"1000*",'Accounting data'!$I$2:$I$37000,"1*",'Accounting data'!$J$2:$J$37000,"21*",'Accounting data'!$K$2:$K$37000,"61*")+SUMIFS('Accounting data'!$G$2:$G$37000,'Accounting data'!$H$2:$H$37000,"1500*",'Accounting data'!$I$2:$I$37000,"1*",'Accounting data'!$J$2:$J$37000,"21*",'Accounting data'!$K$2:$K$37000,"61*")</f>
        <v>118118</v>
      </c>
      <c r="E9" s="601">
        <f>SUMIFS('Accounting data'!$G$2:$G$37000,'Accounting data'!$H$2:$H$37000,"1000*",'Accounting data'!$I$2:$I$37000,"1*",'Accounting data'!$J$2:$J$37000,"21*",'Accounting data'!$K$2:$K$37000,"62*")+SUMIFS('Accounting data'!$G$2:$G$37000,'Accounting data'!$H$2:$H$37000,"1500*",'Accounting data'!$I$2:$I$37000,"1*",'Accounting data'!$J$2:$J$37000,"21*",'Accounting data'!$K$2:$K$37000,"62*")</f>
        <v>30856</v>
      </c>
      <c r="F9" s="601">
        <f>SUMIFS('Accounting data'!$G$2:$G$37000,'Accounting data'!$H$2:$H$37000,"1000*",'Accounting data'!$I$2:$I$37000,"1*",'Accounting data'!$J$2:$J$37000,"21*",'Accounting data'!$K$2:$K$37000,"63*")+SUMIFS('Accounting data'!$G$2:$G$37000,'Accounting data'!$H$2:$H$37000,"1500*",'Accounting data'!$I$2:$I$37000,"1*",'Accounting data'!$J$2:$J$37000,"21*",'Accounting data'!$K$2:$K$37000,"63*")</f>
        <v>7195</v>
      </c>
      <c r="G9" s="601">
        <f>SUMIFS('Accounting data'!$G$2:$G$37000,'Accounting data'!$H$2:$H$37000,"1000*",'Accounting data'!$I$2:$I$37000,"1*",'Accounting data'!$J$2:$J$37000,"21*",'Accounting data'!$K$2:$K$37000,"66*")+SUMIFS('Accounting data'!$G$2:$G$37000,'Accounting data'!$H$2:$H$37000,"1500*",'Accounting data'!$I$2:$I$37000,"1*",'Accounting data'!$J$2:$J$37000,"21*",'Accounting data'!$K$2:$K$37000,"66*")</f>
        <v>972</v>
      </c>
      <c r="H9" s="601">
        <f>SUMIFS('Accounting data'!$G$2:$G$37000,'Accounting data'!$H$2:$H$37000,"1000*",'Accounting data'!$I$2:$I$37000,"1*",'Accounting data'!$J$2:$J$37000,"21*",'Accounting data'!$K$2:$K$37000,"68*")+SUMIFS('Accounting data'!$G$2:$G$37000,'Accounting data'!$H$2:$H$37000,"1500*",'Accounting data'!$I$2:$I$37000,"1*",'Accounting data'!$J$2:$J$37000,"21*",'Accounting data'!$K$2:$K$37000,"68*")</f>
        <v>314</v>
      </c>
      <c r="I9" s="601">
        <f>[3]!SP1000P100F2100</f>
        <v>169653</v>
      </c>
      <c r="J9" s="601">
        <f>SUM(D9:H9)</f>
        <v>157455</v>
      </c>
      <c r="K9" s="601">
        <f>[4]!SP1000P100F2100</f>
        <v>117374</v>
      </c>
      <c r="L9" s="743"/>
      <c r="M9" s="88" t="s">
        <v>26</v>
      </c>
      <c r="N9" s="739" t="str">
        <f>IF('Page 2'!J48=0,"",IF(OR('Page 2'!J9&lt;=0),"The Charter did not report any expenses for student support services on line 2. If the Charter did not have any expense, verify by checking the box in A10 on the Cover Page.",""))</f>
        <v/>
      </c>
      <c r="O9" s="739"/>
      <c r="P9" s="739"/>
      <c r="Q9" s="739"/>
      <c r="R9" s="739"/>
      <c r="S9" s="739"/>
      <c r="T9" s="739"/>
      <c r="U9" s="739"/>
      <c r="V9" s="739"/>
      <c r="W9" s="739"/>
      <c r="X9" s="739"/>
      <c r="Y9" s="739"/>
      <c r="Z9" s="739"/>
      <c r="AA9" s="739"/>
      <c r="AB9" s="739"/>
      <c r="AC9" s="739"/>
      <c r="AD9" s="739"/>
      <c r="AE9" s="739"/>
      <c r="AF9" s="739"/>
    </row>
    <row r="10" spans="1:32" ht="12" customHeight="1" x14ac:dyDescent="0.2">
      <c r="A10" s="86" t="s">
        <v>107</v>
      </c>
      <c r="C10" s="87" t="s">
        <v>28</v>
      </c>
      <c r="D10" s="597">
        <f>SUMIFS('Accounting data'!$G$2:$G$37000,'Accounting data'!$H$2:$H$37000,"1000*",'Accounting data'!$I$2:$I$37000,"1*",'Accounting data'!$J$2:$J$37000,"22*",'Accounting data'!$K$2:$K$37000,"61*")+SUMIFS('Accounting data'!$G$2:$G$37000,'Accounting data'!$H$2:$H$37000,"1500*",'Accounting data'!$I$2:$I$37000,"1*",'Accounting data'!$J$2:$J$37000,"22*",'Accounting data'!$K$2:$K$37000,"61*")</f>
        <v>49935</v>
      </c>
      <c r="E10" s="597">
        <f>SUMIFS('Accounting data'!$G$2:$G$37000,'Accounting data'!$H$2:$H$37000,"1000*",'Accounting data'!$I$2:$I$37000,"1*",'Accounting data'!$J$2:$J$37000,"22*",'Accounting data'!$K$2:$K$37000,"62*")+SUMIFS('Accounting data'!$G$2:$G$37000,'Accounting data'!$H$2:$H$37000,"1500*",'Accounting data'!$I$2:$I$37000,"1*",'Accounting data'!$J$2:$J$37000,"22*",'Accounting data'!$K$2:$K$37000,"62*")</f>
        <v>13128</v>
      </c>
      <c r="F10" s="597">
        <f>SUMIFS('Accounting data'!$G$2:$G$37000,'Accounting data'!$H$2:$H$37000,"1000*",'Accounting data'!$I$2:$I$37000,"1*",'Accounting data'!$J$2:$J$37000,"22*",'Accounting data'!$K$2:$K$37000,"63*")+SUMIFS('Accounting data'!$G$2:$G$37000,'Accounting data'!$H$2:$H$37000,"1500*",'Accounting data'!$I$2:$I$37000,"1*",'Accounting data'!$J$2:$J$37000,"22*",'Accounting data'!$K$2:$K$37000,"63*")</f>
        <v>7824</v>
      </c>
      <c r="G10" s="597">
        <f>SUMIFS('Accounting data'!$G$2:$G$37000,'Accounting data'!$H$2:$H$37000,"1000*",'Accounting data'!$I$2:$I$37000,"1*",'Accounting data'!$J$2:$J$37000,"22*",'Accounting data'!$K$2:$K$37000,"66*")+SUMIFS('Accounting data'!$G$2:$G$37000,'Accounting data'!$H$2:$H$37000,"1500*",'Accounting data'!$I$2:$I$37000,"1*",'Accounting data'!$J$2:$J$37000,"22*",'Accounting data'!$K$2:$K$37000,"66*")</f>
        <v>1895</v>
      </c>
      <c r="H10" s="597">
        <f>SUMIFS('Accounting data'!$G$2:$G$37000,'Accounting data'!$H$2:$H$37000,"1000*",'Accounting data'!$I$2:$I$37000,"1*",'Accounting data'!$J$2:$J$37000,"22*",'Accounting data'!$K$2:$K$37000,"68*")+SUMIFS('Accounting data'!$G$2:$G$37000,'Accounting data'!$H$2:$H$37000,"1500*",'Accounting data'!$I$2:$I$37000,"1*",'Accounting data'!$J$2:$J$37000,"22*",'Accounting data'!$K$2:$K$37000,"68*")</f>
        <v>255</v>
      </c>
      <c r="I10" s="596">
        <f>[3]!SP1000P100F2200</f>
        <v>46520</v>
      </c>
      <c r="J10" s="598">
        <f t="shared" ref="J10:J22" si="0">SUM(D10:H10)</f>
        <v>73037</v>
      </c>
      <c r="K10" s="596">
        <f>[4]!SP1000P100F2200</f>
        <v>25963</v>
      </c>
      <c r="L10" s="599">
        <f t="shared" ref="L10:L20" si="1">IF(J10=K10,0,IF(K10&gt;0,(J10-K10)/K10,"--"))</f>
        <v>1.8130999999999999</v>
      </c>
      <c r="M10" s="88" t="s">
        <v>28</v>
      </c>
      <c r="N10" s="739" t="str">
        <f>IF('Page 2'!J48=0,"",IF(OR('Page 2'!J10&lt;=0),"The Charter did not report any expenses for instructional support services on line 3. If the Charter did not have any expense, verify by checking the box in A12 on the Cover Page.",""))</f>
        <v/>
      </c>
      <c r="O10" s="739"/>
      <c r="P10" s="739"/>
      <c r="Q10" s="739"/>
      <c r="R10" s="739"/>
      <c r="S10" s="739"/>
      <c r="T10" s="739"/>
      <c r="U10" s="739"/>
      <c r="V10" s="739"/>
      <c r="W10" s="739"/>
      <c r="X10" s="739"/>
      <c r="Y10" s="739"/>
      <c r="Z10" s="739"/>
      <c r="AA10" s="739"/>
      <c r="AB10" s="739"/>
      <c r="AC10" s="739"/>
      <c r="AD10" s="739"/>
      <c r="AE10" s="739"/>
      <c r="AF10" s="739"/>
    </row>
    <row r="11" spans="1:32" ht="12" customHeight="1" x14ac:dyDescent="0.2">
      <c r="A11" s="86" t="s">
        <v>108</v>
      </c>
      <c r="C11" s="87" t="s">
        <v>31</v>
      </c>
      <c r="D11" s="597">
        <f>SUMIFS('Accounting data'!$G$2:$G$37000,'Accounting data'!$H$2:$H$37000,"1000*",'Accounting data'!$I$2:$I$37000,"1*",'Accounting data'!$J$2:$J$37000,"23*",'Accounting data'!$K$2:$K$37000,"61*")+SUMIFS('Accounting data'!$G$2:$G$37000,'Accounting data'!$H$2:$H$37000,"1500*",'Accounting data'!$I$2:$I$37000,"1*",'Accounting data'!$J$2:$J$37000,"23*",'Accounting data'!$K$2:$K$37000,"61*")</f>
        <v>23981</v>
      </c>
      <c r="E11" s="597">
        <f>SUMIFS('Accounting data'!$G$2:$G$37000,'Accounting data'!$H$2:$H$37000,"1000*",'Accounting data'!$I$2:$I$37000,"1*",'Accounting data'!$J$2:$J$37000,"23*",'Accounting data'!$K$2:$K$37000,"62*")+SUMIFS('Accounting data'!$G$2:$G$37000,'Accounting data'!$H$2:$H$37000,"1500*",'Accounting data'!$I$2:$I$37000,"1*",'Accounting data'!$J$2:$J$37000,"23*",'Accounting data'!$K$2:$K$37000,"62*")</f>
        <v>5020</v>
      </c>
      <c r="F11" s="597">
        <f>SUMIFS('Accounting data'!$G$2:$G$37000,'Accounting data'!$H$2:$H$37000,"1000*",'Accounting data'!$I$2:$I$37000,"1*",'Accounting data'!$J$2:$J$37000,"23*",'Accounting data'!$K$2:$K$37000,"63*")+SUMIFS('Accounting data'!$G$2:$G$37000,'Accounting data'!$H$2:$H$37000,"1500*",'Accounting data'!$I$2:$I$37000,"1*",'Accounting data'!$J$2:$J$37000,"23*",'Accounting data'!$K$2:$K$37000,"63*")</f>
        <v>3870</v>
      </c>
      <c r="G11" s="597">
        <f>SUMIFS('Accounting data'!$G$2:$G$37000,'Accounting data'!$H$2:$H$37000,"1000*",'Accounting data'!$I$2:$I$37000,"1*",'Accounting data'!$J$2:$J$37000,"23*",'Accounting data'!$K$2:$K$37000,"66*")+SUMIFS('Accounting data'!$G$2:$G$37000,'Accounting data'!$H$2:$H$37000,"1500*",'Accounting data'!$I$2:$I$37000,"1*",'Accounting data'!$J$2:$J$37000,"23*",'Accounting data'!$K$2:$K$37000,"66*")</f>
        <v>629</v>
      </c>
      <c r="H11" s="597">
        <f>SUMIFS('Accounting data'!$G$2:$G$37000,'Accounting data'!$H$2:$H$37000,"1000*",'Accounting data'!$I$2:$I$37000,"1*",'Accounting data'!$J$2:$J$37000,"23*",'Accounting data'!$K$2:$K$37000,"68*")+SUMIFS('Accounting data'!$G$2:$G$37000,'Accounting data'!$H$2:$H$37000,"1500*",'Accounting data'!$I$2:$I$37000,"1*",'Accounting data'!$J$2:$J$37000,"23*",'Accounting data'!$K$2:$K$37000,"68*")</f>
        <v>2086</v>
      </c>
      <c r="I11" s="596">
        <f>[3]!SP1000P100F2300</f>
        <v>27586</v>
      </c>
      <c r="J11" s="598">
        <f t="shared" si="0"/>
        <v>35586</v>
      </c>
      <c r="K11" s="596">
        <f>[4]!SP1000P100F2300</f>
        <v>11708</v>
      </c>
      <c r="L11" s="599">
        <f t="shared" si="1"/>
        <v>2.0394999999999999</v>
      </c>
      <c r="M11" s="88" t="s">
        <v>31</v>
      </c>
      <c r="N11" s="4"/>
      <c r="O11" s="4"/>
      <c r="P11" s="4"/>
      <c r="Q11" s="4"/>
      <c r="R11" s="4"/>
      <c r="S11" s="4"/>
      <c r="T11" s="4"/>
      <c r="U11" s="4"/>
    </row>
    <row r="12" spans="1:32" ht="12" customHeight="1" x14ac:dyDescent="0.2">
      <c r="A12" s="86" t="s">
        <v>109</v>
      </c>
      <c r="C12" s="87" t="s">
        <v>33</v>
      </c>
      <c r="D12" s="597">
        <f>SUMIFS('Accounting data'!$G$2:$G$37000,'Accounting data'!$H$2:$H$37000,"1000*",'Accounting data'!$I$2:$I$37000,"1*",'Accounting data'!$J$2:$J$37000,"24*",'Accounting data'!$K$2:$K$37000,"61*")+SUMIFS('Accounting data'!$G$2:$G$37000,'Accounting data'!$H$2:$H$37000,"1500*",'Accounting data'!$I$2:$I$37000,"1*",'Accounting data'!$J$2:$J$37000,"24*",'Accounting data'!$K$2:$K$37000,"61*")</f>
        <v>193426</v>
      </c>
      <c r="E12" s="597">
        <f>SUMIFS('Accounting data'!$G$2:$G$37000,'Accounting data'!$H$2:$H$37000,"1000*",'Accounting data'!$I$2:$I$37000,"1*",'Accounting data'!$J$2:$J$37000,"24*",'Accounting data'!$K$2:$K$37000,"62*")+SUMIFS('Accounting data'!$G$2:$G$37000,'Accounting data'!$H$2:$H$37000,"1500*",'Accounting data'!$I$2:$I$37000,"1*",'Accounting data'!$J$2:$J$37000,"24*",'Accounting data'!$K$2:$K$37000,"62*")</f>
        <v>44960</v>
      </c>
      <c r="F12" s="597">
        <f>SUMIFS('Accounting data'!$G$2:$G$37000,'Accounting data'!$H$2:$H$37000,"1000*",'Accounting data'!$I$2:$I$37000,"1*",'Accounting data'!$J$2:$J$37000,"24*",'Accounting data'!$K$2:$K$37000,"63*")+SUMIFS('Accounting data'!$G$2:$G$37000,'Accounting data'!$H$2:$H$37000,"1500*",'Accounting data'!$I$2:$I$37000,"1*",'Accounting data'!$J$2:$J$37000,"24*",'Accounting data'!$K$2:$K$37000,"63*")</f>
        <v>335</v>
      </c>
      <c r="G12" s="597">
        <f>SUMIFS('Accounting data'!$G$2:$G$37000,'Accounting data'!$H$2:$H$37000,"1000*",'Accounting data'!$I$2:$I$37000,"1*",'Accounting data'!$J$2:$J$37000,"24*",'Accounting data'!$K$2:$K$37000,"66*")+SUMIFS('Accounting data'!$G$2:$G$37000,'Accounting data'!$H$2:$H$37000,"1500*",'Accounting data'!$I$2:$I$37000,"1*",'Accounting data'!$J$2:$J$37000,"24*",'Accounting data'!$K$2:$K$37000,"66*")</f>
        <v>6058</v>
      </c>
      <c r="H12" s="597">
        <f>SUMIFS('Accounting data'!$G$2:$G$37000,'Accounting data'!$H$2:$H$37000,"1000*",'Accounting data'!$I$2:$I$37000,"1*",'Accounting data'!$J$2:$J$37000,"24*",'Accounting data'!$K$2:$K$37000,"68*")+SUMIFS('Accounting data'!$G$2:$G$37000,'Accounting data'!$H$2:$H$37000,"1500*",'Accounting data'!$I$2:$I$37000,"1*",'Accounting data'!$J$2:$J$37000,"24*",'Accounting data'!$K$2:$K$37000,"68*")</f>
        <v>2569</v>
      </c>
      <c r="I12" s="596">
        <f>[3]!SP1000P100F2400</f>
        <v>184323</v>
      </c>
      <c r="J12" s="598">
        <f t="shared" si="0"/>
        <v>247348</v>
      </c>
      <c r="K12" s="596">
        <f>[4]!SP1000P100F2400</f>
        <v>179718</v>
      </c>
      <c r="L12" s="599">
        <f t="shared" si="1"/>
        <v>0.37630000000000002</v>
      </c>
      <c r="M12" s="88" t="s">
        <v>33</v>
      </c>
    </row>
    <row r="13" spans="1:32" ht="12" customHeight="1" x14ac:dyDescent="0.2">
      <c r="A13" s="86" t="s">
        <v>110</v>
      </c>
      <c r="C13" s="87" t="s">
        <v>35</v>
      </c>
      <c r="D13" s="597">
        <f>SUMIFS('Accounting data'!$G$2:$G$37000,'Accounting data'!$H$2:$H$37000,"1000*",'Accounting data'!$I$2:$I$37000,"1*",'Accounting data'!$J$2:$J$37000,"25*",'Accounting data'!$K$2:$K$37000,"61*")+SUMIFS('Accounting data'!$G$2:$G$37000,'Accounting data'!$H$2:$H$37000,"1500*",'Accounting data'!$I$2:$I$37000,"1*",'Accounting data'!$J$2:$J$37000,"25*",'Accounting data'!$K$2:$K$37000,"61*")</f>
        <v>340935</v>
      </c>
      <c r="E13" s="597">
        <f>SUMIFS('Accounting data'!$G$2:$G$37000,'Accounting data'!$H$2:$H$37000,"1000*",'Accounting data'!$I$2:$I$37000,"1*",'Accounting data'!$J$2:$J$37000,"25*",'Accounting data'!$K$2:$K$37000,"62*")+SUMIFS('Accounting data'!$G$2:$G$37000,'Accounting data'!$H$2:$H$37000,"1500*",'Accounting data'!$I$2:$I$37000,"1*",'Accounting data'!$J$2:$J$37000,"25*",'Accounting data'!$K$2:$K$37000,"62*")</f>
        <v>285146</v>
      </c>
      <c r="F13" s="597">
        <f>SUMIFS('Accounting data'!$G$2:$G$37000,'Accounting data'!$H$2:$H$37000,"1000*",'Accounting data'!$I$2:$I$37000,"1*",'Accounting data'!$J$2:$J$37000,"25*",'Accounting data'!$K$2:$K$37000,"63*")+SUMIFS('Accounting data'!$G$2:$G$37000,'Accounting data'!$H$2:$H$37000,"1500*",'Accounting data'!$I$2:$I$37000,"1*",'Accounting data'!$J$2:$J$37000,"25*",'Accounting data'!$K$2:$K$37000,"63*")</f>
        <v>224567</v>
      </c>
      <c r="G13" s="597">
        <f>SUMIFS('Accounting data'!$G$2:$G$37000,'Accounting data'!$H$2:$H$37000,"1000*",'Accounting data'!$I$2:$I$37000,"1*",'Accounting data'!$J$2:$J$37000,"25*",'Accounting data'!$K$2:$K$37000,"66*")+SUMIFS('Accounting data'!$G$2:$G$37000,'Accounting data'!$H$2:$H$37000,"1500*",'Accounting data'!$I$2:$I$37000,"1*",'Accounting data'!$J$2:$J$37000,"25*",'Accounting data'!$K$2:$K$37000,"66*")</f>
        <v>20091</v>
      </c>
      <c r="H13" s="597">
        <f>SUMIFS('Accounting data'!$G$2:$G$37000,'Accounting data'!$H$2:$H$37000,"1000*",'Accounting data'!$I$2:$I$37000,"1*",'Accounting data'!$J$2:$J$37000,"25*",'Accounting data'!$K$2:$K$37000,"68*")+SUMIFS('Accounting data'!$G$2:$G$37000,'Accounting data'!$H$2:$H$37000,"1500*",'Accounting data'!$I$2:$I$37000,"1*",'Accounting data'!$J$2:$J$37000,"25*",'Accounting data'!$K$2:$K$37000,"68*")</f>
        <v>161573</v>
      </c>
      <c r="I13" s="596">
        <f>[3]!SP1000P100F2500</f>
        <v>987226</v>
      </c>
      <c r="J13" s="598">
        <f t="shared" si="0"/>
        <v>1032312</v>
      </c>
      <c r="K13" s="596">
        <f>[4]!SP1000P100F2500</f>
        <v>785570</v>
      </c>
      <c r="L13" s="599">
        <f t="shared" si="1"/>
        <v>0.31409999999999999</v>
      </c>
      <c r="M13" s="88" t="s">
        <v>35</v>
      </c>
    </row>
    <row r="14" spans="1:32" ht="12" customHeight="1" x14ac:dyDescent="0.2">
      <c r="A14" s="86" t="s">
        <v>111</v>
      </c>
      <c r="C14" s="87" t="s">
        <v>37</v>
      </c>
      <c r="D14" s="597">
        <f>SUMIFS('Accounting data'!$G$2:$G$37000,'Accounting data'!$H$2:$H$37000,"1000*",'Accounting data'!$I$2:$I$37000,"1*",'Accounting data'!$J$2:$J$37000,"26*",'Accounting data'!$K$2:$K$37000,"61*")+SUMIFS('Accounting data'!$G$2:$G$37000,'Accounting data'!$H$2:$H$37000,"1500*",'Accounting data'!$I$2:$I$37000,"1*",'Accounting data'!$J$2:$J$37000,"26*",'Accounting data'!$K$2:$K$37000,"61*")</f>
        <v>56666</v>
      </c>
      <c r="E14" s="597">
        <f>SUMIFS('Accounting data'!$G$2:$G$37000,'Accounting data'!$H$2:$H$37000,"1000*",'Accounting data'!$I$2:$I$37000,"1*",'Accounting data'!$J$2:$J$37000,"26*",'Accounting data'!$K$2:$K$37000,"62*")+SUMIFS('Accounting data'!$G$2:$G$37000,'Accounting data'!$H$2:$H$37000,"1500*",'Accounting data'!$I$2:$I$37000,"1*",'Accounting data'!$J$2:$J$37000,"26*",'Accounting data'!$K$2:$K$37000,"62*")</f>
        <v>14990</v>
      </c>
      <c r="F14" s="597">
        <f>SUMIFS('Accounting data'!$G$2:$G$37000,'Accounting data'!$H$2:$H$37000,"1000*",'Accounting data'!$I$2:$I$37000,"1*",'Accounting data'!$J$2:$J$37000,"26*",'Accounting data'!$K$2:$K$37000,"63*")+SUMIFS('Accounting data'!$G$2:$G$37000,'Accounting data'!$H$2:$H$37000,"1500*",'Accounting data'!$I$2:$I$37000,"1*",'Accounting data'!$J$2:$J$37000,"26*",'Accounting data'!$K$2:$K$37000,"63*")</f>
        <v>476388</v>
      </c>
      <c r="G14" s="597">
        <f>SUMIFS('Accounting data'!$G$2:$G$37000,'Accounting data'!$H$2:$H$37000,"1000*",'Accounting data'!$I$2:$I$37000,"1*",'Accounting data'!$J$2:$J$37000,"26*",'Accounting data'!$K$2:$K$37000,"66*")+SUMIFS('Accounting data'!$G$2:$G$37000,'Accounting data'!$H$2:$H$37000,"1500*",'Accounting data'!$I$2:$I$37000,"1*",'Accounting data'!$J$2:$J$37000,"26*",'Accounting data'!$K$2:$K$37000,"66*")</f>
        <v>114760</v>
      </c>
      <c r="H14" s="597">
        <f>SUMIFS('Accounting data'!$G$2:$G$37000,'Accounting data'!$H$2:$H$37000,"1000*",'Accounting data'!$I$2:$I$37000,"1*",'Accounting data'!$J$2:$J$37000,"26*",'Accounting data'!$K$2:$K$37000,"68*")+SUMIFS('Accounting data'!$G$2:$G$37000,'Accounting data'!$H$2:$H$37000,"1500*",'Accounting data'!$I$2:$I$37000,"1*",'Accounting data'!$J$2:$J$37000,"26*",'Accounting data'!$K$2:$K$37000,"68*")</f>
        <v>2022</v>
      </c>
      <c r="I14" s="596">
        <f>[3]!SP1000P100F2600</f>
        <v>637440</v>
      </c>
      <c r="J14" s="598">
        <f t="shared" si="0"/>
        <v>664826</v>
      </c>
      <c r="K14" s="596">
        <f>[4]!SP1000P100F2600</f>
        <v>592680</v>
      </c>
      <c r="L14" s="599">
        <f t="shared" si="1"/>
        <v>0.1217</v>
      </c>
      <c r="M14" s="88" t="s">
        <v>37</v>
      </c>
    </row>
    <row r="15" spans="1:32" ht="12" customHeight="1" x14ac:dyDescent="0.2">
      <c r="A15" s="86" t="s">
        <v>112</v>
      </c>
      <c r="C15" s="87" t="s">
        <v>39</v>
      </c>
      <c r="D15" s="597">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7">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7">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7">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7">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6">
        <f>[3]!SP1000P100F2900</f>
        <v>6198</v>
      </c>
      <c r="J15" s="598">
        <f t="shared" si="0"/>
        <v>0</v>
      </c>
      <c r="K15" s="596">
        <f>[4]!SP1000P100F2900</f>
        <v>0</v>
      </c>
      <c r="L15" s="599">
        <f t="shared" si="1"/>
        <v>0</v>
      </c>
      <c r="M15" s="88" t="s">
        <v>39</v>
      </c>
    </row>
    <row r="16" spans="1:32" ht="12" customHeight="1" x14ac:dyDescent="0.2">
      <c r="A16" s="86" t="s">
        <v>113</v>
      </c>
      <c r="C16" s="87" t="s">
        <v>41</v>
      </c>
      <c r="D16" s="597">
        <f>SUMIFS('Accounting data'!$G$2:$G$37000,'Accounting data'!$H$2:$H$37000,"1000*",'Accounting data'!$I$2:$I$37000,"1*",'Accounting data'!$J$2:$J$37000,"3*",'Accounting data'!$K$2:$K$37000,"61*")+SUMIFS('Accounting data'!$G$2:$G$37000,'Accounting data'!$H$2:$H$37000,"1500*",'Accounting data'!$I$2:$I$37000,"1*",'Accounting data'!$J$2:$J$37000,"3*",'Accounting data'!$K$2:$K$37000,"61*")</f>
        <v>13033</v>
      </c>
      <c r="E16" s="597">
        <f>SUMIFS('Accounting data'!$G$2:$G$37000,'Accounting data'!$H$2:$H$37000,"1000*",'Accounting data'!$I$2:$I$37000,"1*",'Accounting data'!$J$2:$J$37000,"3*",'Accounting data'!$K$2:$K$37000,"62*")+SUMIFS('Accounting data'!$G$2:$G$37000,'Accounting data'!$H$2:$H$37000,"1500*",'Accounting data'!$I$2:$I$37000,"1*",'Accounting data'!$J$2:$J$37000,"3*",'Accounting data'!$K$2:$K$37000,"62*")</f>
        <v>2825</v>
      </c>
      <c r="F16" s="597">
        <f>SUMIFS('Accounting data'!$G$2:$G$37000,'Accounting data'!$H$2:$H$37000,"1000*",'Accounting data'!$I$2:$I$37000,"1*",'Accounting data'!$J$2:$J$37000,"3*",'Accounting data'!$K$2:$K$37000,"63*")+SUMIFS('Accounting data'!$G$2:$G$37000,'Accounting data'!$H$2:$H$37000,"1500*",'Accounting data'!$I$2:$I$37000,"1*",'Accounting data'!$J$2:$J$37000,"3*",'Accounting data'!$K$2:$K$37000,"63*")</f>
        <v>738</v>
      </c>
      <c r="G16" s="597">
        <f>SUMIFS('Accounting data'!$G$2:$G$37000,'Accounting data'!$H$2:$H$37000,"1000*",'Accounting data'!$I$2:$I$37000,"1*",'Accounting data'!$J$2:$J$37000,"3*",'Accounting data'!$K$2:$K$37000,"66*")+SUMIFS('Accounting data'!$G$2:$G$37000,'Accounting data'!$H$2:$H$37000,"1500*",'Accounting data'!$I$2:$I$37000,"1*",'Accounting data'!$J$2:$J$37000,"3*",'Accounting data'!$K$2:$K$37000,"66*")</f>
        <v>171098</v>
      </c>
      <c r="H16" s="597">
        <f>SUMIFS('Accounting data'!$G$2:$G$37000,'Accounting data'!$H$2:$H$37000,"1000*",'Accounting data'!$I$2:$I$37000,"1*",'Accounting data'!$J$2:$J$37000,"3*",'Accounting data'!$K$2:$K$37000,"68*")+SUMIFS('Accounting data'!$G$2:$G$37000,'Accounting data'!$H$2:$H$37000,"1500*",'Accounting data'!$I$2:$I$37000,"1*",'Accounting data'!$J$2:$J$37000,"3*",'Accounting data'!$K$2:$K$37000,"68*")</f>
        <v>1807</v>
      </c>
      <c r="I16" s="596">
        <f>[3]!SP1000P100F3000</f>
        <v>137896</v>
      </c>
      <c r="J16" s="598">
        <f t="shared" si="0"/>
        <v>189501</v>
      </c>
      <c r="K16" s="596">
        <f>[4]!SP1000P100F3000</f>
        <v>150093</v>
      </c>
      <c r="L16" s="599">
        <f t="shared" si="1"/>
        <v>0.2626</v>
      </c>
      <c r="M16" s="88" t="s">
        <v>41</v>
      </c>
    </row>
    <row r="17" spans="1:25" ht="12" customHeight="1" x14ac:dyDescent="0.2">
      <c r="A17" s="86" t="s">
        <v>114</v>
      </c>
      <c r="C17" s="87" t="s">
        <v>43</v>
      </c>
      <c r="D17" s="597">
        <f>SUMIFS('Accounting data'!$G$2:$G$37000,'Accounting data'!$H$2:$H$37000,"1000*",'Accounting data'!$I$2:$I$37000,"1*",'Accounting data'!$J$2:$J$37000,"4*",'Accounting data'!$K$2:$K$37000,"61*")+SUMIFS('Accounting data'!$G$2:$G$37000,'Accounting data'!$H$2:$H$37000,"1500*",'Accounting data'!$I$2:$I$37000,"1*",'Accounting data'!$J$2:$J$37000,"4*",'Accounting data'!$K$2:$K$37000,"61*")</f>
        <v>0</v>
      </c>
      <c r="E17" s="597">
        <f>SUMIFS('Accounting data'!$G$2:$G$37000,'Accounting data'!$H$2:$H$37000,"1000*",'Accounting data'!$I$2:$I$37000,"1*",'Accounting data'!$J$2:$J$37000,"4*",'Accounting data'!$K$2:$K$37000,"62*")+SUMIFS('Accounting data'!$G$2:$G$37000,'Accounting data'!$H$2:$H$37000,"1500*",'Accounting data'!$I$2:$I$37000,"1*",'Accounting data'!$J$2:$J$37000,"4*",'Accounting data'!$K$2:$K$37000,"62*")</f>
        <v>0</v>
      </c>
      <c r="F17" s="597">
        <f>SUMIFS('Accounting data'!$G$2:$G$37000,'Accounting data'!$H$2:$H$37000,"1000*",'Accounting data'!$I$2:$I$37000,"1*",'Accounting data'!$J$2:$J$37000,"4*",'Accounting data'!$K$2:$K$37000,"63*")+SUMIFS('Accounting data'!$G$2:$G$37000,'Accounting data'!$H$2:$H$37000,"1500*",'Accounting data'!$I$2:$I$37000,"1*",'Accounting data'!$J$2:$J$37000,"4*",'Accounting data'!$K$2:$K$37000,"63*")</f>
        <v>0</v>
      </c>
      <c r="G17" s="597">
        <f>SUMIFS('Accounting data'!$G$2:$G$37000,'Accounting data'!$H$2:$H$37000,"1000*",'Accounting data'!$I$2:$I$37000,"1*",'Accounting data'!$J$2:$J$37000,"4*",'Accounting data'!$K$2:$K$37000,"66*")+SUMIFS('Accounting data'!$G$2:$G$37000,'Accounting data'!$H$2:$H$37000,"1500*",'Accounting data'!$I$2:$I$37000,"1*",'Accounting data'!$J$2:$J$37000,"4*",'Accounting data'!$K$2:$K$37000,"66*")</f>
        <v>0</v>
      </c>
      <c r="H17" s="597">
        <f>SUMIFS('Accounting data'!$G$2:$G$37000,'Accounting data'!$H$2:$H$37000,"1000*",'Accounting data'!$I$2:$I$37000,"1*",'Accounting data'!$J$2:$J$37000,"4*",'Accounting data'!$K$2:$K$37000,"68*")+SUMIFS('Accounting data'!$G$2:$G$37000,'Accounting data'!$H$2:$H$37000,"1500*",'Accounting data'!$I$2:$I$37000,"1*",'Accounting data'!$J$2:$J$37000,"4*",'Accounting data'!$K$2:$K$37000,"68*")</f>
        <v>0</v>
      </c>
      <c r="I17" s="596">
        <f>[3]!SP1000P100F4000</f>
        <v>0</v>
      </c>
      <c r="J17" s="598">
        <f t="shared" si="0"/>
        <v>0</v>
      </c>
      <c r="K17" s="596">
        <f>[4]!SP1000P100F4000</f>
        <v>0</v>
      </c>
      <c r="L17" s="599">
        <f t="shared" si="1"/>
        <v>0</v>
      </c>
      <c r="M17" s="88" t="s">
        <v>43</v>
      </c>
    </row>
    <row r="18" spans="1:25" ht="12" customHeight="1" x14ac:dyDescent="0.2">
      <c r="A18" s="86" t="s">
        <v>115</v>
      </c>
      <c r="C18" s="87" t="s">
        <v>45</v>
      </c>
      <c r="D18" s="597">
        <f>SUMIFS('Accounting data'!$G$2:$G$37000,'Accounting data'!$H$2:$H$37000,"1000*",'Accounting data'!$I$2:$I$37000,"1*",'Accounting data'!$J$2:$J$37000,"5*",'Accounting data'!$K$2:$K$37000,"61*")+SUMIFS('Accounting data'!$G$2:$G$37000,'Accounting data'!$H$2:$H$37000,"1500*",'Accounting data'!$I$2:$I$37000,"1*",'Accounting data'!$J$2:$J$37000,"5*",'Accounting data'!$K$2:$K$37000,"61*")</f>
        <v>0</v>
      </c>
      <c r="E18" s="597">
        <f>SUMIFS('Accounting data'!$G$2:$G$37000,'Accounting data'!$H$2:$H$37000,"1000*",'Accounting data'!$I$2:$I$37000,"1*",'Accounting data'!$J$2:$J$37000,"5*",'Accounting data'!$K$2:$K$37000,"62*")+SUMIFS('Accounting data'!$G$2:$G$37000,'Accounting data'!$H$2:$H$37000,"1500*",'Accounting data'!$I$2:$I$37000,"1*",'Accounting data'!$J$2:$J$37000,"5*",'Accounting data'!$K$2:$K$37000,"62*")</f>
        <v>0</v>
      </c>
      <c r="F18" s="597">
        <f>SUMIFS('Accounting data'!$G$2:$G$37000,'Accounting data'!$H$2:$H$37000,"1000*",'Accounting data'!$I$2:$I$37000,"1*",'Accounting data'!$J$2:$J$37000,"5*",'Accounting data'!$K$2:$K$37000,"63*")+SUMIFS('Accounting data'!$G$2:$G$37000,'Accounting data'!$H$2:$H$37000,"1500*",'Accounting data'!$I$2:$I$37000,"1*",'Accounting data'!$J$2:$J$37000,"5*",'Accounting data'!$K$2:$K$37000,"63*")</f>
        <v>0</v>
      </c>
      <c r="G18" s="597">
        <f>SUMIFS('Accounting data'!$G$2:$G$37000,'Accounting data'!$H$2:$H$37000,"1000*",'Accounting data'!$I$2:$I$37000,"1*",'Accounting data'!$J$2:$J$37000,"5*",'Accounting data'!$K$2:$K$37000,"66*")+SUMIFS('Accounting data'!$G$2:$G$37000,'Accounting data'!$H$2:$H$37000,"1500*",'Accounting data'!$I$2:$I$37000,"1*",'Accounting data'!$J$2:$J$37000,"5*",'Accounting data'!$K$2:$K$37000,"66*")</f>
        <v>0</v>
      </c>
      <c r="H18" s="597">
        <f>SUMIFS('Accounting data'!$G$2:$G$37000,'Accounting data'!$H$2:$H$37000,"1000*",'Accounting data'!$I$2:$I$37000,"1*",'Accounting data'!$J$2:$J$37000,"5*",'Accounting data'!$K$2:$K$37000,"68*")+SUMIFS('Accounting data'!$G$2:$G$37000,'Accounting data'!$H$2:$H$37000,"1500*",'Accounting data'!$I$2:$I$37000,"1*",'Accounting data'!$J$2:$J$37000,"5*",'Accounting data'!$K$2:$K$37000,"68*")</f>
        <v>0</v>
      </c>
      <c r="I18" s="596">
        <f>[3]!SP1000P100F5000</f>
        <v>0</v>
      </c>
      <c r="J18" s="598">
        <f t="shared" si="0"/>
        <v>0</v>
      </c>
      <c r="K18" s="596">
        <f>[4]!SP1000P100F5000</f>
        <v>0</v>
      </c>
      <c r="L18" s="599">
        <f t="shared" si="1"/>
        <v>0</v>
      </c>
      <c r="M18" s="88" t="s">
        <v>45</v>
      </c>
    </row>
    <row r="19" spans="1:25" ht="12" customHeight="1" x14ac:dyDescent="0.2">
      <c r="A19" s="86" t="s">
        <v>116</v>
      </c>
      <c r="C19" s="87" t="s">
        <v>47</v>
      </c>
      <c r="D19" s="597">
        <f>SUMIFS('Accounting data'!$G$2:$G$37000,'Accounting data'!$H$2:$H$37000,"1000*",'Accounting data'!$I$2:$I$37000,"61*",'Accounting data'!$K$2:$K$37000,"61*")+SUMIFS('Accounting data'!$G$2:$G$37000,'Accounting data'!$H$2:$H$37000,"1500*",'Accounting data'!$I$2:$I$37000,"61*",'Accounting data'!$K$2:$K$37000,"61*")</f>
        <v>735</v>
      </c>
      <c r="E19" s="597">
        <f>SUMIFS('Accounting data'!$G$2:$G$37000,'Accounting data'!$H$2:$H$37000,"1000*",'Accounting data'!$I$2:$I$37000,"61*",'Accounting data'!$K$2:$K$37000,"62*")+SUMIFS('Accounting data'!$G$2:$G$37000,'Accounting data'!$H$2:$H$37000,"1500*",'Accounting data'!$I$2:$I$37000,"61*",'Accounting data'!$K$2:$K$37000,"62*")</f>
        <v>147</v>
      </c>
      <c r="F19" s="597">
        <f>SUMIFS('Accounting data'!$G$2:$G$37000,'Accounting data'!$H$2:$H$37000,"1000*",'Accounting data'!$I$2:$I$37000,"61*",'Accounting data'!$K$2:$K$37000,"63*")+SUMIFS('Accounting data'!$G$2:$G$37000,'Accounting data'!$H$2:$H$37000,"1500*",'Accounting data'!$I$2:$I$37000,"61*",'Accounting data'!$K$2:$K$37000,"63*")</f>
        <v>0</v>
      </c>
      <c r="G19" s="597">
        <f>SUMIFS('Accounting data'!$G$2:$G$37000,'Accounting data'!$H$2:$H$37000,"1000*",'Accounting data'!$I$2:$I$37000,"61*",'Accounting data'!$K$2:$K$37000,"66*")+SUMIFS('Accounting data'!$G$2:$G$37000,'Accounting data'!$H$2:$H$37000,"1500*",'Accounting data'!$I$2:$I$37000,"61*",'Accounting data'!$K$2:$K$37000,"66*")</f>
        <v>2906</v>
      </c>
      <c r="H19" s="597">
        <f>SUMIFS('Accounting data'!$G$2:$G$37000,'Accounting data'!$H$2:$H$37000,"1000*",'Accounting data'!$I$2:$I$37000,"61*",'Accounting data'!$K$2:$K$37000,"68*")+SUMIFS('Accounting data'!$G$2:$G$37000,'Accounting data'!$H$2:$H$37000,"1500*",'Accounting data'!$I$2:$I$37000,"61*",'Accounting data'!$K$2:$K$37000,"68*")</f>
        <v>0</v>
      </c>
      <c r="I19" s="596">
        <f>[3]!SP1000P610</f>
        <v>0</v>
      </c>
      <c r="J19" s="598">
        <f t="shared" si="0"/>
        <v>3788</v>
      </c>
      <c r="K19" s="596">
        <f>[4]!SP1000P610</f>
        <v>0</v>
      </c>
      <c r="L19" s="599" t="str">
        <f t="shared" si="1"/>
        <v>--</v>
      </c>
      <c r="M19" s="88" t="s">
        <v>47</v>
      </c>
    </row>
    <row r="20" spans="1:25" ht="12" customHeight="1" x14ac:dyDescent="0.2">
      <c r="A20" s="86" t="s">
        <v>117</v>
      </c>
      <c r="C20" s="87" t="s">
        <v>49</v>
      </c>
      <c r="D20" s="597">
        <f>SUMIFS('Accounting data'!$G$2:$G$37000,'Accounting data'!$H$2:$H$37000,"1000*",'Accounting data'!$I$2:$I$37000,"62*",'Accounting data'!$K$2:$K$37000,"61*")+SUMIFS('Accounting data'!$G$2:$G$37000,'Accounting data'!$H$2:$H$37000,"1500*",'Accounting data'!$I$2:$I$37000,"62*",'Accounting data'!$K$2:$K$37000,"61*")</f>
        <v>3554</v>
      </c>
      <c r="E20" s="597">
        <f>SUMIFS('Accounting data'!$G$2:$G$37000,'Accounting data'!$H$2:$H$37000,"1000*",'Accounting data'!$I$2:$I$37000,"62*",'Accounting data'!$K$2:$K$37000,"62*")+SUMIFS('Accounting data'!$G$2:$G$37000,'Accounting data'!$H$2:$H$37000,"1500*",'Accounting data'!$I$2:$I$37000,"62*",'Accounting data'!$K$2:$K$37000,"62*")</f>
        <v>753</v>
      </c>
      <c r="F20" s="597">
        <f>SUMIFS('Accounting data'!$G$2:$G$37000,'Accounting data'!$H$2:$H$37000,"1000*",'Accounting data'!$I$2:$I$37000,"62*",'Accounting data'!$K$2:$K$37000,"63*")+SUMIFS('Accounting data'!$G$2:$G$37000,'Accounting data'!$H$2:$H$37000,"1500*",'Accounting data'!$I$2:$I$37000,"62*",'Accounting data'!$K$2:$K$37000,"63*")</f>
        <v>0</v>
      </c>
      <c r="G20" s="597">
        <f>SUMIFS('Accounting data'!$G$2:$G$37000,'Accounting data'!$H$2:$H$37000,"1000*",'Accounting data'!$I$2:$I$37000,"62*",'Accounting data'!$K$2:$K$37000,"66*")+SUMIFS('Accounting data'!$G$2:$G$37000,'Accounting data'!$H$2:$H$37000,"1500*",'Accounting data'!$I$2:$I$37000,"62*",'Accounting data'!$K$2:$K$37000,"66*")</f>
        <v>3050</v>
      </c>
      <c r="H20" s="597">
        <f>SUMIFS('Accounting data'!$G$2:$G$37000,'Accounting data'!$H$2:$H$37000,"1000*",'Accounting data'!$I$2:$I$37000,"62*",'Accounting data'!$K$2:$K$37000,"68*")+SUMIFS('Accounting data'!$G$2:$G$37000,'Accounting data'!$H$2:$H$37000,"1500*",'Accounting data'!$I$2:$I$37000,"62*",'Accounting data'!$K$2:$K$37000,"68*")</f>
        <v>2227</v>
      </c>
      <c r="I20" s="596">
        <f>[3]!SP1000P620</f>
        <v>1609</v>
      </c>
      <c r="J20" s="598">
        <f t="shared" si="0"/>
        <v>9584</v>
      </c>
      <c r="K20" s="596">
        <f>[4]!SP1000P620</f>
        <v>3966</v>
      </c>
      <c r="L20" s="599">
        <f t="shared" si="1"/>
        <v>1.4165000000000001</v>
      </c>
      <c r="M20" s="88" t="s">
        <v>49</v>
      </c>
    </row>
    <row r="21" spans="1:25" ht="12" customHeight="1" x14ac:dyDescent="0.2">
      <c r="A21" s="86" t="s">
        <v>118</v>
      </c>
      <c r="C21" s="87" t="s">
        <v>51</v>
      </c>
      <c r="D21" s="597">
        <f>SUMIFS('Accounting data'!$G$2:$G$37000,'Accounting data'!$H$2:$H$37000,"1000*",'Accounting data'!$I$2:$I$37000,"63*",'Accounting data'!$K$2:$K$37000,"61*")+SUMIFS('Accounting data'!$G$2:$G$37000,'Accounting data'!$H$2:$H$37000,"1500*",'Accounting data'!$I$2:$I$37000,"63*",'Accounting data'!$K$2:$K$37000,"61*")</f>
        <v>0</v>
      </c>
      <c r="E21" s="597">
        <f>SUMIFS('Accounting data'!$G$2:$G$37000,'Accounting data'!$H$2:$H$37000,"1000*",'Accounting data'!$I$2:$I$37000,"63*",'Accounting data'!$K$2:$K$37000,"62*")+SUMIFS('Accounting data'!$G$2:$G$37000,'Accounting data'!$H$2:$H$37000,"1500*",'Accounting data'!$I$2:$I$37000,"63*",'Accounting data'!$K$2:$K$37000,"62*")</f>
        <v>0</v>
      </c>
      <c r="F21" s="597">
        <f>SUMIFS('Accounting data'!$G$2:$G$37000,'Accounting data'!$H$2:$H$37000,"1000*",'Accounting data'!$I$2:$I$37000,"63*",'Accounting data'!$K$2:$K$37000,"63*")+SUMIFS('Accounting data'!$G$2:$G$37000,'Accounting data'!$H$2:$H$37000,"1500*",'Accounting data'!$I$2:$I$37000,"63*",'Accounting data'!$K$2:$K$37000,"63*")</f>
        <v>0</v>
      </c>
      <c r="G21" s="597">
        <f>SUMIFS('Accounting data'!$G$2:$G$37000,'Accounting data'!$H$2:$H$37000,"1000*",'Accounting data'!$I$2:$I$37000,"63*",'Accounting data'!$K$2:$K$37000,"66*")+SUMIFS('Accounting data'!$G$2:$G$37000,'Accounting data'!$H$2:$H$37000,"1500*",'Accounting data'!$I$2:$I$37000,"63*",'Accounting data'!$K$2:$K$37000,"66*")</f>
        <v>0</v>
      </c>
      <c r="H21" s="667">
        <f>SUMIFS('Accounting data'!$G$2:$G$37000,'Accounting data'!$H$2:$H$37000,"1000*",'Accounting data'!$I$2:$I$37000,"63*",'Accounting data'!$K$2:$K$37000,"68*")+SUMIFS('Accounting data'!$G$2:$G$37000,'Accounting data'!$H$2:$H$37000,"1500*",'Accounting data'!$I$2:$I$37000,"63*",'Accounting data'!$K$2:$K$37000,"68*")</f>
        <v>0</v>
      </c>
      <c r="I21" s="737">
        <f>[3]!SP1000P630700800900</f>
        <v>0</v>
      </c>
      <c r="J21" s="668">
        <f t="shared" si="0"/>
        <v>0</v>
      </c>
      <c r="K21" s="596">
        <f>'[4]Page 2'!$J$21</f>
        <v>0</v>
      </c>
      <c r="L21" s="742">
        <f>IF(J21+J22=K22,0,IF(K22&gt;0,(J21+J22-K22)/K22,"--"))</f>
        <v>0</v>
      </c>
      <c r="M21" s="62" t="s">
        <v>51</v>
      </c>
    </row>
    <row r="22" spans="1:25" ht="12" customHeight="1" x14ac:dyDescent="0.2">
      <c r="A22" s="86" t="s">
        <v>119</v>
      </c>
      <c r="C22" s="87" t="s">
        <v>53</v>
      </c>
      <c r="D22" s="597">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97">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97">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7">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7">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38"/>
      <c r="J22" s="598">
        <f t="shared" si="0"/>
        <v>0</v>
      </c>
      <c r="K22" s="596">
        <f>[4]!SP1000P630700800900</f>
        <v>0</v>
      </c>
      <c r="L22" s="744"/>
      <c r="M22" s="62" t="s">
        <v>53</v>
      </c>
    </row>
    <row r="23" spans="1:25" ht="12" customHeight="1" x14ac:dyDescent="0.2">
      <c r="A23" s="90" t="s">
        <v>120</v>
      </c>
      <c r="B23" s="2"/>
      <c r="C23" s="91" t="s">
        <v>55</v>
      </c>
      <c r="D23" s="597">
        <f t="shared" ref="D23:H23" si="2">SUM(D6:D22)</f>
        <v>1932810</v>
      </c>
      <c r="E23" s="597">
        <f t="shared" si="2"/>
        <v>682261</v>
      </c>
      <c r="F23" s="597">
        <f t="shared" si="2"/>
        <v>880689</v>
      </c>
      <c r="G23" s="597">
        <f t="shared" si="2"/>
        <v>372485</v>
      </c>
      <c r="H23" s="597">
        <f t="shared" si="2"/>
        <v>179736</v>
      </c>
      <c r="I23" s="598">
        <f>SUM(I7:I22)</f>
        <v>3401606</v>
      </c>
      <c r="J23" s="598">
        <f>SUM(J7:J22)</f>
        <v>4047981</v>
      </c>
      <c r="K23" s="598">
        <f>SUM(K7:K22)</f>
        <v>2978182</v>
      </c>
      <c r="L23" s="599">
        <f>IF(J23=K23,0,IF(K23&gt;0,(J23-K23)/K23,"--"))</f>
        <v>0.35920000000000002</v>
      </c>
      <c r="M23" s="62" t="s">
        <v>55</v>
      </c>
    </row>
    <row r="24" spans="1:25" ht="12" customHeight="1" x14ac:dyDescent="0.2">
      <c r="A24" s="92" t="s">
        <v>121</v>
      </c>
      <c r="C24" s="75"/>
      <c r="D24" s="85"/>
      <c r="E24" s="85"/>
      <c r="F24" s="85"/>
      <c r="G24" s="85"/>
      <c r="H24" s="85"/>
      <c r="I24" s="85"/>
      <c r="J24" s="85"/>
      <c r="K24" s="85"/>
      <c r="L24" s="742">
        <f>IF(J25=K25,0,IF(K25&gt;0,(J25-K25)/K25,"--"))</f>
        <v>0.80930000000000002</v>
      </c>
      <c r="M24" s="617"/>
    </row>
    <row r="25" spans="1:25" ht="12" customHeight="1" x14ac:dyDescent="0.2">
      <c r="A25" s="86" t="s">
        <v>122</v>
      </c>
      <c r="C25" s="87" t="s">
        <v>57</v>
      </c>
      <c r="D25" s="601">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61713</v>
      </c>
      <c r="E25" s="601">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14556</v>
      </c>
      <c r="F25" s="601">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867</v>
      </c>
      <c r="G25" s="601">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266</v>
      </c>
      <c r="H25" s="601">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01">
        <f>[3]!SP1000P200F1000</f>
        <v>74730</v>
      </c>
      <c r="J25" s="601">
        <f>SUM(D25:H25)</f>
        <v>77402</v>
      </c>
      <c r="K25" s="601">
        <f>[4]!SP1000P200F1000</f>
        <v>42779</v>
      </c>
      <c r="L25" s="743"/>
      <c r="M25" s="62" t="s">
        <v>57</v>
      </c>
      <c r="Y25" s="594"/>
    </row>
    <row r="26" spans="1:25" ht="12" customHeight="1" x14ac:dyDescent="0.2">
      <c r="A26" s="86" t="s">
        <v>123</v>
      </c>
      <c r="C26" s="87"/>
      <c r="D26" s="85"/>
      <c r="E26" s="85"/>
      <c r="F26" s="85"/>
      <c r="G26" s="85"/>
      <c r="H26" s="85"/>
      <c r="I26" s="85"/>
      <c r="J26" s="85"/>
      <c r="K26" s="85"/>
      <c r="L26" s="742">
        <f>IF(J27=K27,0,IF(K27&gt;0,(J27-K27)/K27,"--"))</f>
        <v>0.18609999999999999</v>
      </c>
      <c r="M26" s="62"/>
      <c r="T26" s="594"/>
    </row>
    <row r="27" spans="1:25" ht="12" customHeight="1" x14ac:dyDescent="0.2">
      <c r="A27" s="86" t="s">
        <v>124</v>
      </c>
      <c r="C27" s="87" t="s">
        <v>59</v>
      </c>
      <c r="D27" s="601">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10325</v>
      </c>
      <c r="E27" s="601">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2352</v>
      </c>
      <c r="F27" s="601">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79534</v>
      </c>
      <c r="G27" s="601">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2018</v>
      </c>
      <c r="H27" s="601">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565</v>
      </c>
      <c r="I27" s="601">
        <f>[3]!SP1000P200F2100</f>
        <v>61695</v>
      </c>
      <c r="J27" s="601">
        <f>SUM(D27:H27)</f>
        <v>94794</v>
      </c>
      <c r="K27" s="601">
        <f>[4]!SP1000P200F2100</f>
        <v>79921</v>
      </c>
      <c r="L27" s="743"/>
      <c r="M27" s="62" t="s">
        <v>59</v>
      </c>
    </row>
    <row r="28" spans="1:25" ht="12" customHeight="1" x14ac:dyDescent="0.2">
      <c r="A28" s="86" t="s">
        <v>125</v>
      </c>
      <c r="C28" s="87" t="s">
        <v>61</v>
      </c>
      <c r="D28" s="597">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50</v>
      </c>
      <c r="E28" s="597">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4</v>
      </c>
      <c r="F28" s="597">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260</v>
      </c>
      <c r="G28" s="597">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7">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6">
        <f>[3]!SP1000P200F2200</f>
        <v>9765</v>
      </c>
      <c r="J28" s="598">
        <f t="shared" ref="J28:J36" si="3">SUM(D28:H28)</f>
        <v>314</v>
      </c>
      <c r="K28" s="596">
        <f>[4]!SP1000P200F2200</f>
        <v>13650</v>
      </c>
      <c r="L28" s="599">
        <f t="shared" ref="L28:L48" si="4">IF(J28=K28,0,IF(K28&gt;0,(J28-K28)/K28,"--"))</f>
        <v>-0.97699999999999998</v>
      </c>
      <c r="M28" s="62" t="s">
        <v>61</v>
      </c>
    </row>
    <row r="29" spans="1:25" ht="12" customHeight="1" x14ac:dyDescent="0.2">
      <c r="A29" s="86" t="s">
        <v>126</v>
      </c>
      <c r="C29" s="87" t="s">
        <v>63</v>
      </c>
      <c r="D29" s="597">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7">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7">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138</v>
      </c>
      <c r="G29" s="597">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7">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6">
        <f>[3]!SP1000P200F2300</f>
        <v>0</v>
      </c>
      <c r="J29" s="598">
        <f t="shared" si="3"/>
        <v>138</v>
      </c>
      <c r="K29" s="596">
        <f>[4]!SP1000P200F2300</f>
        <v>0</v>
      </c>
      <c r="L29" s="599" t="str">
        <f t="shared" si="4"/>
        <v>--</v>
      </c>
      <c r="M29" s="62" t="s">
        <v>63</v>
      </c>
    </row>
    <row r="30" spans="1:25" ht="12" customHeight="1" x14ac:dyDescent="0.2">
      <c r="A30" s="86" t="s">
        <v>127</v>
      </c>
      <c r="C30" s="87" t="s">
        <v>65</v>
      </c>
      <c r="D30" s="597">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7">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7">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7">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7">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6">
        <f>[3]!SP1000P200F2400</f>
        <v>0</v>
      </c>
      <c r="J30" s="598">
        <f t="shared" si="3"/>
        <v>0</v>
      </c>
      <c r="K30" s="596">
        <f>[4]!SP1000P200F2400</f>
        <v>24</v>
      </c>
      <c r="L30" s="599">
        <f t="shared" si="4"/>
        <v>-1</v>
      </c>
      <c r="M30" s="62" t="s">
        <v>65</v>
      </c>
    </row>
    <row r="31" spans="1:25" ht="12" customHeight="1" x14ac:dyDescent="0.2">
      <c r="A31" s="86" t="s">
        <v>128</v>
      </c>
      <c r="C31" s="87" t="s">
        <v>67</v>
      </c>
      <c r="D31" s="597">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7">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7">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7">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7">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6">
        <f>[3]!SP1000P200F2500</f>
        <v>0</v>
      </c>
      <c r="J31" s="598">
        <f t="shared" si="3"/>
        <v>0</v>
      </c>
      <c r="K31" s="596">
        <f>[4]!SP1000P200F2500</f>
        <v>13663</v>
      </c>
      <c r="L31" s="599">
        <f t="shared" si="4"/>
        <v>-1</v>
      </c>
      <c r="M31" s="62" t="s">
        <v>67</v>
      </c>
    </row>
    <row r="32" spans="1:25" ht="12" customHeight="1" x14ac:dyDescent="0.2">
      <c r="A32" s="86" t="s">
        <v>129</v>
      </c>
      <c r="C32" s="87" t="s">
        <v>69</v>
      </c>
      <c r="D32" s="597">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7">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7">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7">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7">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6">
        <f>[3]!SP1000P200F2600</f>
        <v>0</v>
      </c>
      <c r="J32" s="598">
        <f t="shared" si="3"/>
        <v>0</v>
      </c>
      <c r="K32" s="596">
        <f>[4]!SP1000P200F2600</f>
        <v>0</v>
      </c>
      <c r="L32" s="599">
        <f t="shared" si="4"/>
        <v>0</v>
      </c>
      <c r="M32" s="62" t="s">
        <v>69</v>
      </c>
    </row>
    <row r="33" spans="1:13" ht="12" customHeight="1" x14ac:dyDescent="0.2">
      <c r="A33" s="86" t="s">
        <v>130</v>
      </c>
      <c r="C33" s="87" t="s">
        <v>71</v>
      </c>
      <c r="D33" s="597">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7">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7">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7">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7">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6">
        <f>[3]!SP1000P200F2900</f>
        <v>3844</v>
      </c>
      <c r="J33" s="598">
        <f t="shared" si="3"/>
        <v>0</v>
      </c>
      <c r="K33" s="596">
        <f>[4]!SP1000P200F2900</f>
        <v>0</v>
      </c>
      <c r="L33" s="599">
        <f t="shared" si="4"/>
        <v>0</v>
      </c>
      <c r="M33" s="62" t="s">
        <v>71</v>
      </c>
    </row>
    <row r="34" spans="1:13" ht="12" customHeight="1" x14ac:dyDescent="0.2">
      <c r="A34" s="86" t="s">
        <v>131</v>
      </c>
      <c r="C34" s="87" t="s">
        <v>73</v>
      </c>
      <c r="D34" s="597">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7">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7">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7">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7">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6">
        <f>[3]!SP1000P200F3000</f>
        <v>0</v>
      </c>
      <c r="J34" s="598">
        <f t="shared" si="3"/>
        <v>0</v>
      </c>
      <c r="K34" s="596">
        <f>[4]!SP1000P200F3000</f>
        <v>0</v>
      </c>
      <c r="L34" s="599">
        <f t="shared" si="4"/>
        <v>0</v>
      </c>
      <c r="M34" s="62" t="s">
        <v>73</v>
      </c>
    </row>
    <row r="35" spans="1:13" ht="12" customHeight="1" x14ac:dyDescent="0.2">
      <c r="A35" s="86" t="s">
        <v>132</v>
      </c>
      <c r="C35" s="87" t="s">
        <v>75</v>
      </c>
      <c r="D35" s="597">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7">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7">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7">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7">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6">
        <f>[3]!SP1000P200F4000</f>
        <v>0</v>
      </c>
      <c r="J35" s="598">
        <f t="shared" si="3"/>
        <v>0</v>
      </c>
      <c r="K35" s="596">
        <f>[4]!SP1000P200F4000</f>
        <v>0</v>
      </c>
      <c r="L35" s="599">
        <f t="shared" si="4"/>
        <v>0</v>
      </c>
      <c r="M35" s="62" t="s">
        <v>75</v>
      </c>
    </row>
    <row r="36" spans="1:13" ht="12" customHeight="1" x14ac:dyDescent="0.2">
      <c r="A36" s="86" t="s">
        <v>133</v>
      </c>
      <c r="C36" s="87" t="s">
        <v>77</v>
      </c>
      <c r="D36" s="597">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7">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7">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7">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7">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6">
        <f>[3]!SP1000P200F5000</f>
        <v>0</v>
      </c>
      <c r="J36" s="598">
        <f t="shared" si="3"/>
        <v>0</v>
      </c>
      <c r="K36" s="596">
        <f>[4]!SP1000P200F5000</f>
        <v>0</v>
      </c>
      <c r="L36" s="599">
        <f t="shared" si="4"/>
        <v>0</v>
      </c>
      <c r="M36" s="62" t="s">
        <v>77</v>
      </c>
    </row>
    <row r="37" spans="1:13" ht="12" customHeight="1" x14ac:dyDescent="0.2">
      <c r="A37" s="90" t="s">
        <v>134</v>
      </c>
      <c r="B37" s="2"/>
      <c r="C37" s="93" t="s">
        <v>79</v>
      </c>
      <c r="D37" s="597">
        <f>SUM(D25:D36)</f>
        <v>72088</v>
      </c>
      <c r="E37" s="597">
        <f t="shared" ref="E37:G37" si="5">SUM(E25:E36)</f>
        <v>16912</v>
      </c>
      <c r="F37" s="597">
        <f t="shared" si="5"/>
        <v>80799</v>
      </c>
      <c r="G37" s="597">
        <f t="shared" si="5"/>
        <v>2284</v>
      </c>
      <c r="H37" s="597">
        <f>SUM(H25:H36)</f>
        <v>565</v>
      </c>
      <c r="I37" s="597">
        <f>SUM(I25:I36)</f>
        <v>150034</v>
      </c>
      <c r="J37" s="597">
        <f>SUM(J25:J36)</f>
        <v>172648</v>
      </c>
      <c r="K37" s="597">
        <f>SUM(K25:K36)</f>
        <v>150037</v>
      </c>
      <c r="L37" s="94">
        <f t="shared" si="4"/>
        <v>0.1507</v>
      </c>
      <c r="M37" s="95" t="s">
        <v>79</v>
      </c>
    </row>
    <row r="38" spans="1:13" ht="12" customHeight="1" x14ac:dyDescent="0.2">
      <c r="A38" s="96" t="s">
        <v>135</v>
      </c>
      <c r="B38" s="97"/>
      <c r="C38" s="93" t="s">
        <v>81</v>
      </c>
      <c r="D38" s="597">
        <f>SUMIFS('Accounting data'!$G$2:$G$37000,'Accounting data'!$H$2:$H$37000,"1000*",'Accounting data'!$I$2:$I$37000,"400*",'Accounting data'!$K$2:$K$37000,"61*")+SUMIFS('Accounting data'!$G$2:$G$37000,'Accounting data'!$H$2:$H$37000,"1500*",'Accounting data'!$I$2:$I$37000,"400*",'Accounting data'!$K$2:$K$37000,"61*")</f>
        <v>804</v>
      </c>
      <c r="E38" s="597">
        <f>SUMIFS('Accounting data'!$G$2:$G$37000,'Accounting data'!$H$2:$H$37000,"1000*",'Accounting data'!$I$2:$I$37000,"400*",'Accounting data'!$K$2:$K$37000,"62*")+SUMIFS('Accounting data'!$G$2:$G$37000,'Accounting data'!$H$2:$H$37000,"1500*",'Accounting data'!$I$2:$I$37000,"400*",'Accounting data'!$K$2:$K$37000,"62*")</f>
        <v>163</v>
      </c>
      <c r="F38" s="597">
        <f>SUMIFS('Accounting data'!$G$2:$G$37000,'Accounting data'!$H$2:$H$37000,"1000*",'Accounting data'!$I$2:$I$37000,"400*",'Accounting data'!$K$2:$K$37000,"63*")+SUMIFS('Accounting data'!$G$2:$G$37000,'Accounting data'!$H$2:$H$37000,"1500*",'Accounting data'!$I$2:$I$37000,"400*",'Accounting data'!$K$2:$K$37000,"63*")</f>
        <v>74507</v>
      </c>
      <c r="G38" s="597">
        <f>SUMIFS('Accounting data'!$G$2:$G$37000,'Accounting data'!$H$2:$H$37000,"1000*",'Accounting data'!$I$2:$I$37000,"400*",'Accounting data'!$K$2:$K$37000,"66*")+SUMIFS('Accounting data'!$G$2:$G$37000,'Accounting data'!$H$2:$H$37000,"1500*",'Accounting data'!$I$2:$I$37000,"400*",'Accounting data'!$K$2:$K$37000,"66*")</f>
        <v>0</v>
      </c>
      <c r="H38" s="597">
        <f>SUMIFS('Accounting data'!$G$2:$G$37000,'Accounting data'!$H$2:$H$37000,"1000*",'Accounting data'!$I$2:$I$37000,"400*",'Accounting data'!$K$2:$K$37000,"68*")+SUMIFS('Accounting data'!$G$2:$G$37000,'Accounting data'!$H$2:$H$37000,"1500*",'Accounting data'!$I$2:$I$37000,"400*",'Accounting data'!$K$2:$K$37000,"68*")</f>
        <v>0</v>
      </c>
      <c r="I38" s="596">
        <f>[3]!SP1000P400</f>
        <v>18032</v>
      </c>
      <c r="J38" s="598">
        <f>SUM(D38:H38)</f>
        <v>75474</v>
      </c>
      <c r="K38" s="596">
        <f>[4]!SP1000P400</f>
        <v>27872</v>
      </c>
      <c r="L38" s="599">
        <f t="shared" si="4"/>
        <v>1.7079</v>
      </c>
      <c r="M38" s="95" t="s">
        <v>81</v>
      </c>
    </row>
    <row r="39" spans="1:13" ht="12" customHeight="1" x14ac:dyDescent="0.2">
      <c r="A39" s="96" t="s">
        <v>136</v>
      </c>
      <c r="B39" s="97"/>
      <c r="C39" s="98" t="s">
        <v>83</v>
      </c>
      <c r="D39" s="597">
        <f>SUMIFS('Accounting data'!$G$2:$G$37000,'Accounting data'!$H$2:$H$37000,"1000*",'Accounting data'!$I$2:$I$37000,"53*",'Accounting data'!$K$2:$K$37000,"61*")+SUMIFS('Accounting data'!$G$2:$G$37000,'Accounting data'!$H$2:$H$37000,"1500*",'Accounting data'!$I$2:$I$37000,"53*",'Accounting data'!$K$2:$K$37000,"61*")</f>
        <v>0</v>
      </c>
      <c r="E39" s="597">
        <f>SUMIFS('Accounting data'!$G$2:$G$37000,'Accounting data'!$H$2:$H$37000,"1000*",'Accounting data'!$I$2:$I$37000,"53*",'Accounting data'!$K$2:$K$37000,"62*")+SUMIFS('Accounting data'!$G$2:$G$37000,'Accounting data'!$H$2:$H$37000,"1000*",'Accounting data'!$I$2:$I$37000,"53*",'Accounting data'!$K$2:$K$37000,"62*")</f>
        <v>0</v>
      </c>
      <c r="F39" s="597">
        <f>SUMIFS('Accounting data'!$G$2:$G$37000,'Accounting data'!$H$2:$H$37000,"1000*",'Accounting data'!$I$2:$I$37000,"53*",'Accounting data'!$K$2:$K$37000,"63*")+SUMIFS('Accounting data'!$G$2:$G$37000,'Accounting data'!$H$2:$H$37000,"1500*",'Accounting data'!$I$2:$I$37000,"53*",'Accounting data'!$K$2:$K$37000,"63*")</f>
        <v>0</v>
      </c>
      <c r="G39" s="597">
        <f>SUMIFS('Accounting data'!$G$2:$G$37000,'Accounting data'!$H$2:$H$37000,"1000*",'Accounting data'!$I$2:$I$37000,"53*",'Accounting data'!$K$2:$K$37000,"66*")+SUMIFS('Accounting data'!$G$2:$G$37000,'Accounting data'!$H$2:$H$37000,"1500*",'Accounting data'!$I$2:$I$37000,"53*",'Accounting data'!$K$2:$K$37000,"66*")</f>
        <v>0</v>
      </c>
      <c r="H39" s="597">
        <f>SUMIFS('Accounting data'!$G$2:$G$37000,'Accounting data'!$H$2:$H$37000,"1000*",'Accounting data'!$I$2:$I$37000,"53*",'Accounting data'!$K$2:$K$37000,"68*")+SUMIFS('Accounting data'!$G$2:$G$37000,'Accounting data'!$H$2:$H$37000,"1500*",'Accounting data'!$I$2:$I$37000,"53*",'Accounting data'!$K$2:$K$37000,"68*")</f>
        <v>0</v>
      </c>
      <c r="I39" s="596">
        <f>[3]!SP1000P530</f>
        <v>0</v>
      </c>
      <c r="J39" s="598">
        <f>SUM(D39:H39)</f>
        <v>0</v>
      </c>
      <c r="K39" s="596">
        <f>[4]!SP1000P530</f>
        <v>0</v>
      </c>
      <c r="L39" s="599">
        <f t="shared" si="4"/>
        <v>0</v>
      </c>
      <c r="M39" s="95" t="s">
        <v>83</v>
      </c>
    </row>
    <row r="40" spans="1:13" ht="12" customHeight="1" x14ac:dyDescent="0.2">
      <c r="A40" s="96" t="s">
        <v>137</v>
      </c>
      <c r="B40" s="97"/>
      <c r="C40" s="98" t="s">
        <v>85</v>
      </c>
      <c r="D40" s="597">
        <f>SUMIFS('Accounting data'!$G$2:$G$37000,'Accounting data'!$H$2:$H$37000,"1000*",'Accounting data'!$I$2:$I$37000,"54*",'Accounting data'!$K$2:$K$37000,"61*")+SUMIFS('Accounting data'!$G$2:$G$37000,'Accounting data'!$H$2:$H$37000,"1500*",'Accounting data'!$I$2:$I$37000,"54*",'Accounting data'!$K$2:$K$37000,"61*")</f>
        <v>0</v>
      </c>
      <c r="E40" s="597">
        <f>SUMIFS('Accounting data'!$G$2:$G$37000,'Accounting data'!$H$2:$H$37000,"1000*",'Accounting data'!$I$2:$I$37000,"54*",'Accounting data'!$K$2:$K$37000,"62*")+SUMIFS('Accounting data'!$G$2:$G$37000,'Accounting data'!$H$2:$H$37000,"1500*",'Accounting data'!$I$2:$I$37000,"54*",'Accounting data'!$K$2:$K$37000,"62*")</f>
        <v>0</v>
      </c>
      <c r="F40" s="597">
        <f>SUMIFS('Accounting data'!$G$2:$G$37000,'Accounting data'!$H$2:$H$37000,"1000*",'Accounting data'!$I$2:$I$37000,"54*",'Accounting data'!$K$2:$K$37000,"63*")+SUMIFS('Accounting data'!$G$2:$G$37000,'Accounting data'!$H$2:$H$37000,"1500*",'Accounting data'!$I$2:$I$37000,"54*",'Accounting data'!$K$2:$K$37000,"63*")</f>
        <v>0</v>
      </c>
      <c r="G40" s="597">
        <f>SUMIFS('Accounting data'!$G$2:$G$37000,'Accounting data'!$H$2:$H$37000,"1000*",'Accounting data'!$I$2:$I$37000,"54*",'Accounting data'!$K$2:$K$37000,"66*")+SUMIFS('Accounting data'!$G$2:$G$37000,'Accounting data'!$H$2:$H$37000,"1500*",'Accounting data'!$I$2:$I$37000,"54*",'Accounting data'!$K$2:$K$37000,"66*")</f>
        <v>0</v>
      </c>
      <c r="H40" s="597">
        <f>SUMIFS('Accounting data'!$G$2:$G$37000,'Accounting data'!$H$2:$H$37000,"1000*",'Accounting data'!$I$2:$I$37000,"54*",'Accounting data'!$K$2:$K$37000,"68*")+SUMIFS('Accounting data'!$G$2:$G$37000,'Accounting data'!$H$2:$H$37000,"1500*",'Accounting data'!$I$2:$I$37000,"54*",'Accounting data'!$K$2:$K$37000,"68*")</f>
        <v>0</v>
      </c>
      <c r="I40" s="596">
        <f>[3]!SP1000P540</f>
        <v>0</v>
      </c>
      <c r="J40" s="598">
        <f>SUM(D40:H40)</f>
        <v>0</v>
      </c>
      <c r="K40" s="596">
        <f>[4]!SP1000P540</f>
        <v>0</v>
      </c>
      <c r="L40" s="599">
        <f t="shared" si="4"/>
        <v>0</v>
      </c>
      <c r="M40" s="95" t="s">
        <v>85</v>
      </c>
    </row>
    <row r="41" spans="1:13" ht="12" customHeight="1" x14ac:dyDescent="0.2">
      <c r="A41" s="96" t="s">
        <v>138</v>
      </c>
      <c r="B41" s="97"/>
      <c r="C41" s="98" t="s">
        <v>86</v>
      </c>
      <c r="D41" s="597">
        <f>SUMIFS('Accounting data'!$G$2:$G$37000,'Accounting data'!$H$2:$H$37000,"1000*",'Accounting data'!$I$2:$I$37000,"55*",'Accounting data'!$K$2:$K$37000,"61*")+SUMIFS('Accounting data'!$G$2:$G$37000,'Accounting data'!$H$2:$H$37000,"1500*",'Accounting data'!$I$2:$I$37000,"55*",'Accounting data'!$K$2:$K$37000,"61*")</f>
        <v>0</v>
      </c>
      <c r="E41" s="597">
        <f>SUMIFS('Accounting data'!$G$2:$G$37000,'Accounting data'!$H$2:$H$37000,"1000*",'Accounting data'!$I$2:$I$37000,"55*",'Accounting data'!$K$2:$K$37000,"62*")+SUMIFS('Accounting data'!$G$2:$G$37000,'Accounting data'!$H$2:$H$37000,"1500*",'Accounting data'!$I$2:$I$37000,"55*",'Accounting data'!$K$2:$K$37000,"62*")</f>
        <v>0</v>
      </c>
      <c r="F41" s="597">
        <f>SUMIFS('Accounting data'!$G$2:$G$37000,'Accounting data'!$H$2:$H$37000,"1000*",'Accounting data'!$I$2:$I$37000,"55*",'Accounting data'!$K$2:$K$37000,"63*")+SUMIFS('Accounting data'!$G$2:$G$37000,'Accounting data'!$H$2:$H$37000,"1500*",'Accounting data'!$I$2:$I$37000,"55*",'Accounting data'!$K$2:$K$37000,"63*")</f>
        <v>0</v>
      </c>
      <c r="G41" s="597">
        <f>SUMIFS('Accounting data'!$G$2:$G$37000,'Accounting data'!$H$2:$H$37000,"1000*",'Accounting data'!$I$2:$I$37000,"55*",'Accounting data'!$K$2:$K$37000,"66*")+SUMIFS('Accounting data'!$G$2:$G$37000,'Accounting data'!$H$2:$H$37000,"1500*",'Accounting data'!$I$2:$I$37000,"55*",'Accounting data'!$K$2:$K$37000,"66*")</f>
        <v>0</v>
      </c>
      <c r="H41" s="597">
        <f>SUMIFS('Accounting data'!$G$2:$G$37000,'Accounting data'!$H$2:$H$37000,"1000*",'Accounting data'!$I$2:$I$37000,"55*",'Accounting data'!$K$2:$K$37000,"68*")+SUMIFS('Accounting data'!$G$2:$G$37000,'Accounting data'!$H$2:$H$37000,"1500*",'Accounting data'!$I$2:$I$37000,"55*",'Accounting data'!$K$2:$K$37000,"68*")</f>
        <v>0</v>
      </c>
      <c r="I41" s="596">
        <f>[3]!SP1000P550</f>
        <v>0</v>
      </c>
      <c r="J41" s="598">
        <f>SUM(D41:H41)</f>
        <v>0</v>
      </c>
      <c r="K41" s="596">
        <f>[4]!SP1000P550</f>
        <v>0</v>
      </c>
      <c r="L41" s="599">
        <f t="shared" si="4"/>
        <v>0</v>
      </c>
      <c r="M41" s="95" t="s">
        <v>86</v>
      </c>
    </row>
    <row r="42" spans="1:13" ht="12" customHeight="1" x14ac:dyDescent="0.2">
      <c r="A42" s="96" t="s">
        <v>139</v>
      </c>
      <c r="B42" s="97"/>
      <c r="C42" s="98" t="s">
        <v>140</v>
      </c>
      <c r="D42" s="597">
        <f t="shared" ref="D42:I42" si="6">SUM(D38:D41)+D37+D23</f>
        <v>2005702</v>
      </c>
      <c r="E42" s="597">
        <f t="shared" si="6"/>
        <v>699336</v>
      </c>
      <c r="F42" s="597">
        <f t="shared" si="6"/>
        <v>1035995</v>
      </c>
      <c r="G42" s="597">
        <f t="shared" si="6"/>
        <v>374769</v>
      </c>
      <c r="H42" s="597">
        <f t="shared" si="6"/>
        <v>180301</v>
      </c>
      <c r="I42" s="596">
        <f t="shared" si="6"/>
        <v>3569672</v>
      </c>
      <c r="J42" s="598">
        <f>SUM(J37:J41)+J23</f>
        <v>4296103</v>
      </c>
      <c r="K42" s="598">
        <f>SUM(K23)+SUM(K37:K41)</f>
        <v>3156091</v>
      </c>
      <c r="L42" s="599">
        <f t="shared" si="4"/>
        <v>0.36120000000000002</v>
      </c>
      <c r="M42" s="95" t="s">
        <v>140</v>
      </c>
    </row>
    <row r="43" spans="1:13" ht="12" customHeight="1" x14ac:dyDescent="0.2">
      <c r="A43" s="96" t="s">
        <v>1179</v>
      </c>
      <c r="B43" s="97"/>
      <c r="C43" s="98" t="s">
        <v>141</v>
      </c>
      <c r="D43" s="597">
        <f>'Page 3'!F13</f>
        <v>306189</v>
      </c>
      <c r="E43" s="597">
        <f>'Page 3'!G13</f>
        <v>61054</v>
      </c>
      <c r="F43" s="597">
        <f>'Page 3'!H13</f>
        <v>0</v>
      </c>
      <c r="G43" s="597">
        <f>'Page 3'!I13</f>
        <v>0</v>
      </c>
      <c r="H43" s="687">
        <f>'Page 3'!G18</f>
        <v>0</v>
      </c>
      <c r="I43" s="596">
        <f>[3]!SP1000ClassSiteProj</f>
        <v>357926</v>
      </c>
      <c r="J43" s="598">
        <f>SUM(D43:H43)</f>
        <v>367243</v>
      </c>
      <c r="K43" s="596">
        <f>[4]!SP1000ClassSiteProj</f>
        <v>332025</v>
      </c>
      <c r="L43" s="599">
        <f t="shared" si="4"/>
        <v>0.1061</v>
      </c>
      <c r="M43" s="95" t="s">
        <v>141</v>
      </c>
    </row>
    <row r="44" spans="1:13" ht="12" customHeight="1" x14ac:dyDescent="0.2">
      <c r="A44" s="96" t="s">
        <v>142</v>
      </c>
      <c r="B44" s="97"/>
      <c r="C44" s="98" t="s">
        <v>143</v>
      </c>
      <c r="D44" s="99"/>
      <c r="E44" s="99"/>
      <c r="F44" s="99"/>
      <c r="G44" s="99"/>
      <c r="H44" s="99"/>
      <c r="I44" s="596">
        <f>[3]!SP1000InstrImpProj</f>
        <v>19064</v>
      </c>
      <c r="J44" s="598">
        <f>SUMIFS('Accounting data'!$G$2:$G$37000,'Accounting data'!$H$2:$H$37000,"1020*",'Accounting data'!$K$2:$K$37000,"6*")</f>
        <v>30480</v>
      </c>
      <c r="K44" s="596">
        <f>[4]!SP1000InstrImpProj</f>
        <v>36254</v>
      </c>
      <c r="L44" s="599">
        <f t="shared" si="4"/>
        <v>-0.1593</v>
      </c>
      <c r="M44" s="95" t="s">
        <v>143</v>
      </c>
    </row>
    <row r="45" spans="1:13" ht="12" customHeight="1" x14ac:dyDescent="0.2">
      <c r="A45" s="96" t="s">
        <v>144</v>
      </c>
      <c r="B45" s="97"/>
      <c r="C45" s="98" t="s">
        <v>145</v>
      </c>
      <c r="D45" s="597">
        <f>TotalSEIP6100</f>
        <v>0</v>
      </c>
      <c r="E45" s="597">
        <f>TotalSEIP6200</f>
        <v>0</v>
      </c>
      <c r="F45" s="597">
        <f>TotalSEIP630064006500</f>
        <v>0</v>
      </c>
      <c r="G45" s="597">
        <f>TotalSEIP6600</f>
        <v>0</v>
      </c>
      <c r="H45" s="597">
        <f>TotalSEIP6800</f>
        <v>0</v>
      </c>
      <c r="I45" s="596">
        <f>[3]!SP1000StruEngImmProj</f>
        <v>0</v>
      </c>
      <c r="J45" s="598">
        <f>SUM(D45:H45)</f>
        <v>0</v>
      </c>
      <c r="K45" s="596">
        <f>[4]!SP1000StruEngImmProj</f>
        <v>0</v>
      </c>
      <c r="L45" s="599">
        <f t="shared" si="4"/>
        <v>0</v>
      </c>
      <c r="M45" s="95" t="s">
        <v>145</v>
      </c>
    </row>
    <row r="46" spans="1:13" ht="12" customHeight="1" x14ac:dyDescent="0.2">
      <c r="A46" s="96" t="s">
        <v>146</v>
      </c>
      <c r="B46" s="97"/>
      <c r="C46" s="98" t="s">
        <v>147</v>
      </c>
      <c r="D46" s="597">
        <f>TotalCIP6100</f>
        <v>0</v>
      </c>
      <c r="E46" s="597">
        <f>TotalCIP6200</f>
        <v>0</v>
      </c>
      <c r="F46" s="597">
        <f>TotalCIP630064006500</f>
        <v>0</v>
      </c>
      <c r="G46" s="597">
        <f>TotalCIP6600</f>
        <v>0</v>
      </c>
      <c r="H46" s="597">
        <f>TotalCIP6800</f>
        <v>0</v>
      </c>
      <c r="I46" s="596">
        <f>[3]!SP1000CompInstrProj</f>
        <v>0</v>
      </c>
      <c r="J46" s="598">
        <f>SUM(D46:H46)</f>
        <v>0</v>
      </c>
      <c r="K46" s="596">
        <f>[4]!SP1000CompInstrProj</f>
        <v>0</v>
      </c>
      <c r="L46" s="599">
        <f t="shared" si="4"/>
        <v>0</v>
      </c>
      <c r="M46" s="95" t="s">
        <v>147</v>
      </c>
    </row>
    <row r="47" spans="1:13" ht="12" customHeight="1" x14ac:dyDescent="0.2">
      <c r="A47" s="219" t="s">
        <v>1180</v>
      </c>
      <c r="B47" s="100"/>
      <c r="C47" s="98" t="s">
        <v>148</v>
      </c>
      <c r="D47" s="101"/>
      <c r="E47" s="101"/>
      <c r="F47" s="101"/>
      <c r="G47" s="101"/>
      <c r="H47" s="101"/>
      <c r="I47" s="596">
        <f>[3]!SP1000FedStProj</f>
        <v>558677</v>
      </c>
      <c r="J47" s="598">
        <f>ActualTotalFederalAndStateProjects</f>
        <v>790394</v>
      </c>
      <c r="K47" s="596">
        <f>[4]!SP1000FedStProj</f>
        <v>754692</v>
      </c>
      <c r="L47" s="599">
        <f t="shared" si="4"/>
        <v>4.7300000000000002E-2</v>
      </c>
      <c r="M47" s="95" t="s">
        <v>148</v>
      </c>
    </row>
    <row r="48" spans="1:13" ht="12" customHeight="1" x14ac:dyDescent="0.2">
      <c r="A48" s="96" t="s">
        <v>149</v>
      </c>
      <c r="B48" s="97"/>
      <c r="C48" s="98" t="s">
        <v>150</v>
      </c>
      <c r="D48" s="101"/>
      <c r="E48" s="101"/>
      <c r="F48" s="101"/>
      <c r="G48" s="101"/>
      <c r="H48" s="101"/>
      <c r="I48" s="598">
        <f>SUM(I42:I47)</f>
        <v>4505339</v>
      </c>
      <c r="J48" s="598">
        <f>SUM(J42:J47)</f>
        <v>5484220</v>
      </c>
      <c r="K48" s="598">
        <f>SUM(K42:K47)</f>
        <v>4279062</v>
      </c>
      <c r="L48" s="599">
        <f t="shared" si="4"/>
        <v>0.28160000000000002</v>
      </c>
      <c r="M48" s="95" t="s">
        <v>150</v>
      </c>
    </row>
    <row r="49" spans="1:1" ht="12" customHeight="1" x14ac:dyDescent="0.2">
      <c r="A49" s="595"/>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L26:L27"/>
    <mergeCell ref="L24:L25"/>
    <mergeCell ref="L21:L22"/>
    <mergeCell ref="B1:C1"/>
    <mergeCell ref="L3:L5"/>
    <mergeCell ref="I3:K3"/>
    <mergeCell ref="I21:I22"/>
    <mergeCell ref="N10:AF10"/>
    <mergeCell ref="N9:AF9"/>
    <mergeCell ref="L6:L7"/>
    <mergeCell ref="L8:L9"/>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topLeftCell="A7"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5" t="s">
        <v>0</v>
      </c>
      <c r="D1" s="616" t="str">
        <f>'Cover Page'!D1</f>
        <v>ASU Preparatory Academy - Phoenix Middle School</v>
      </c>
      <c r="E1" s="617"/>
      <c r="F1" s="57" t="s">
        <v>151</v>
      </c>
      <c r="G1" s="616" t="str">
        <f>'Cover Page'!M1</f>
        <v>Maricopa</v>
      </c>
      <c r="H1" s="613"/>
      <c r="I1" s="57" t="s">
        <v>2</v>
      </c>
      <c r="J1" s="615" t="str">
        <f>'Cover Page'!R1</f>
        <v>078250000</v>
      </c>
    </row>
    <row r="4" spans="1:14" x14ac:dyDescent="0.2">
      <c r="A4" s="73"/>
      <c r="B4" s="110"/>
      <c r="C4" s="111"/>
      <c r="D4" s="111"/>
      <c r="E4" s="112"/>
      <c r="F4" s="71"/>
      <c r="G4" s="620" t="s">
        <v>152</v>
      </c>
      <c r="H4" s="620" t="s">
        <v>153</v>
      </c>
      <c r="I4" s="80"/>
      <c r="J4" s="745" t="s">
        <v>90</v>
      </c>
      <c r="K4" s="746"/>
      <c r="L4" s="113"/>
    </row>
    <row r="5" spans="1:14" x14ac:dyDescent="0.2">
      <c r="A5" s="114" t="s">
        <v>92</v>
      </c>
      <c r="C5" s="115"/>
      <c r="D5" s="115"/>
      <c r="E5" s="116"/>
      <c r="F5" s="78" t="s">
        <v>93</v>
      </c>
      <c r="G5" s="76" t="s">
        <v>94</v>
      </c>
      <c r="H5" s="78" t="s">
        <v>95</v>
      </c>
      <c r="I5" s="117" t="s">
        <v>96</v>
      </c>
      <c r="J5" s="78"/>
      <c r="K5" s="78"/>
      <c r="L5" s="118"/>
    </row>
    <row r="6" spans="1:14" x14ac:dyDescent="0.2">
      <c r="A6" s="90"/>
      <c r="B6" s="2"/>
      <c r="C6" s="119"/>
      <c r="D6" s="119"/>
      <c r="E6" s="120"/>
      <c r="F6" s="83">
        <v>6100</v>
      </c>
      <c r="G6" s="625">
        <v>6200</v>
      </c>
      <c r="H6" s="83" t="s">
        <v>100</v>
      </c>
      <c r="I6" s="83">
        <v>6600</v>
      </c>
      <c r="J6" s="83" t="s">
        <v>101</v>
      </c>
      <c r="K6" s="83" t="s">
        <v>23</v>
      </c>
      <c r="L6" s="118"/>
    </row>
    <row r="7" spans="1:14" x14ac:dyDescent="0.2">
      <c r="A7" s="605" t="s">
        <v>154</v>
      </c>
      <c r="B7" s="606"/>
      <c r="C7" s="606"/>
      <c r="D7" s="606"/>
      <c r="E7" s="121"/>
      <c r="F7" s="80"/>
      <c r="G7" s="80"/>
      <c r="H7" s="80"/>
      <c r="I7" s="80"/>
      <c r="J7" s="80"/>
      <c r="K7" s="80"/>
      <c r="L7" s="86"/>
    </row>
    <row r="8" spans="1:14" x14ac:dyDescent="0.2">
      <c r="A8" s="122"/>
      <c r="B8" s="115"/>
      <c r="C8" t="s">
        <v>155</v>
      </c>
      <c r="D8" s="115"/>
      <c r="E8" s="123" t="s">
        <v>24</v>
      </c>
      <c r="F8" s="603">
        <f>SUMIFS('Accounting data'!$G$2:$G$37000,'Accounting data'!$H$2:$H$37000,"1010*",'Accounting data'!$J$2:$J$37000,"1*",'Accounting data'!$K$2:$K$37000,"61*")</f>
        <v>290703</v>
      </c>
      <c r="G8" s="603">
        <f>SUMIFS('Accounting data'!$G$2:$G$37000,'Accounting data'!$H$2:$H$37000,"1010*",'Accounting data'!$J$2:$J$37000,"1*",'Accounting data'!$K$2:$K$37000,"62*")</f>
        <v>57966</v>
      </c>
      <c r="H8" s="603">
        <f>SUMIFS('Accounting data'!$G$2:$G$37000,'Accounting data'!$H$2:$H$37000,"1010*",'Accounting data'!$J$2:$J$37000,"1*",'Accounting data'!$K$2:$K$37000,"63*")</f>
        <v>0</v>
      </c>
      <c r="I8" s="603">
        <f>SUMIFS('Accounting data'!$G$2:$G$37000,'Accounting data'!$H$2:$H$37000,"1010*",'Accounting data'!$J$2:$J$37000,"1*",'Accounting data'!$K$2:$K$37000,"66*")</f>
        <v>0</v>
      </c>
      <c r="J8" s="602">
        <f t="array" ref="J8">[3]!_CSP1000</f>
        <v>357926</v>
      </c>
      <c r="K8" s="603">
        <f>SUM(F8:I8)</f>
        <v>348669</v>
      </c>
      <c r="L8" s="86"/>
    </row>
    <row r="9" spans="1:14" x14ac:dyDescent="0.2">
      <c r="A9" s="122"/>
      <c r="B9" s="115"/>
      <c r="C9" t="s">
        <v>156</v>
      </c>
      <c r="D9" s="115"/>
      <c r="E9" s="123" t="s">
        <v>26</v>
      </c>
      <c r="F9" s="598">
        <f>SUMIFS('Accounting data'!$G$2:$G$37000,'Accounting data'!$H$2:$H$37000,"1010*",'Accounting data'!$J$2:$J$37000,"21*",'Accounting data'!$K$2:$K$37000,"61*")</f>
        <v>13892</v>
      </c>
      <c r="G9" s="598">
        <f>SUMIFS('Accounting data'!$G$2:$G$37000,'Accounting data'!$H$2:$H$37000,"1010*",'Accounting data'!$J$2:$J$37000,"21*",'Accounting data'!$K$2:$K$37000,"62*")</f>
        <v>2770</v>
      </c>
      <c r="H9" s="598">
        <f>SUMIFS('Accounting data'!$G$2:$G$37000,'Accounting data'!$H$2:$H$37000,"1010*",'Accounting data'!$J$2:$J$37000,"21*",'Accounting data'!$K$2:$K$37000,"63*")</f>
        <v>0</v>
      </c>
      <c r="I9" s="598">
        <f>SUMIFS('Accounting data'!$G$2:$G$37000,'Accounting data'!$H$2:$H$37000,"1010*",'Accounting data'!$J$2:$J$37000,"21*",'Accounting data'!$K$2:$K$37000,"66*")</f>
        <v>0</v>
      </c>
      <c r="J9" s="596">
        <f t="array" ref="J9">[3]!_CSP2100</f>
        <v>0</v>
      </c>
      <c r="K9" s="598">
        <f t="shared" ref="K9:K13" si="0">SUM(F9:I9)</f>
        <v>16662</v>
      </c>
      <c r="L9" s="86"/>
    </row>
    <row r="10" spans="1:14" x14ac:dyDescent="0.2">
      <c r="A10" s="122"/>
      <c r="B10" s="115"/>
      <c r="C10" t="s">
        <v>157</v>
      </c>
      <c r="D10" s="115"/>
      <c r="E10" s="123" t="s">
        <v>28</v>
      </c>
      <c r="F10" s="598">
        <f>SUMIFS('Accounting data'!$G$2:$G$37000,'Accounting data'!$H$2:$H$37000,"1010*",'Accounting data'!$J$2:$J$37000,"22*",'Accounting data'!$K$2:$K$37000,"61*")</f>
        <v>1594</v>
      </c>
      <c r="G10" s="598">
        <f>SUMIFS('Accounting data'!$G$2:$G$37000,'Accounting data'!$H$2:$H$37000,"1010*",'Accounting data'!$J$2:$J$37000,"22*",'Accounting data'!$K$2:$K$37000,"62*")</f>
        <v>318</v>
      </c>
      <c r="H10" s="598">
        <f>SUMIFS('Accounting data'!$G$2:$G$37000,'Accounting data'!$H$2:$H$37000,"1010*",'Accounting data'!$J$2:$J$37000,"22*",'Accounting data'!$K$2:$K$37000,"63*")</f>
        <v>0</v>
      </c>
      <c r="I10" s="598">
        <f>SUMIFS('Accounting data'!$G$2:$G$37000,'Accounting data'!$H$2:$H$37000,"1010*",'Accounting data'!$J$2:$J$37000,"22*",'Accounting data'!$K$2:$K$37000,"66*")</f>
        <v>0</v>
      </c>
      <c r="J10" s="596">
        <f t="array" ref="J10">[3]!_CSP2200</f>
        <v>0</v>
      </c>
      <c r="K10" s="598">
        <f t="shared" si="0"/>
        <v>1912</v>
      </c>
      <c r="L10" s="86"/>
    </row>
    <row r="11" spans="1:14" x14ac:dyDescent="0.2">
      <c r="A11" s="122"/>
      <c r="B11" s="115"/>
      <c r="C11" s="219" t="s">
        <v>158</v>
      </c>
      <c r="D11" s="124"/>
      <c r="E11" s="123" t="s">
        <v>31</v>
      </c>
      <c r="F11" s="101"/>
      <c r="G11" s="101"/>
      <c r="H11" s="598">
        <f>SUMIFS('Accounting data'!$G$2:$G$37000,'Accounting data'!$H$2:$H$37000,"1010*",'Accounting data'!$J$2:$J$37000,"23*",'Accounting data'!$K$2:$K$37000,"63*")</f>
        <v>0</v>
      </c>
      <c r="I11" s="101"/>
      <c r="J11" s="596">
        <f t="array" ref="J11">[3]!_CSP2300</f>
        <v>0</v>
      </c>
      <c r="K11" s="598">
        <f t="shared" si="0"/>
        <v>0</v>
      </c>
      <c r="L11" s="86"/>
    </row>
    <row r="12" spans="1:14" ht="12.75" customHeight="1" x14ac:dyDescent="0.2">
      <c r="A12" s="125"/>
      <c r="B12" s="119"/>
      <c r="C12" s="219" t="s">
        <v>159</v>
      </c>
      <c r="D12" s="126"/>
      <c r="E12" s="127" t="s">
        <v>33</v>
      </c>
      <c r="F12" s="598">
        <f>SUMIFS('Accounting data'!$G$2:$G$37000,'Accounting data'!$H$2:$H$37000,"1010*",'Accounting data'!$J$2:$J$37000,"33*",'Accounting data'!$K$2:$K$37000,"61*")</f>
        <v>0</v>
      </c>
      <c r="G12" s="598">
        <f>SUMIFS('Accounting data'!$G$2:$G$37000,'Accounting data'!$H$2:$H$37000,"1010*",'Accounting data'!$J$2:$J$37000,"33*",'Accounting data'!$K$2:$K$37000,"62*")</f>
        <v>0</v>
      </c>
      <c r="H12" s="598">
        <f>SUMIFS('Accounting data'!$G$2:$G$37000,'Accounting data'!$H$2:$H$37000,"1010*",'Accounting data'!$J$2:$J$37000,"33*",'Accounting data'!$K$2:$K$37000,"63*")</f>
        <v>0</v>
      </c>
      <c r="I12" s="101"/>
      <c r="J12" s="596">
        <f t="array" ref="J12">[3]!_CSP3300</f>
        <v>0</v>
      </c>
      <c r="K12" s="598">
        <f t="shared" si="0"/>
        <v>0</v>
      </c>
      <c r="L12" s="86"/>
      <c r="M12" s="747" t="str">
        <f>IF('Page 2'!J48=0,"",IF(OR(K13&lt;=0),"The Charter did not report any expenses for Classroom Site Project. If the Charter did not have any expense, verify by checking the box in A14 on the Cover Page.",""))</f>
        <v/>
      </c>
      <c r="N12" s="4"/>
    </row>
    <row r="13" spans="1:14" ht="12" customHeight="1" x14ac:dyDescent="0.2">
      <c r="A13" s="90" t="s">
        <v>160</v>
      </c>
      <c r="B13" s="119"/>
      <c r="C13" s="2"/>
      <c r="D13" s="119"/>
      <c r="E13" s="127" t="s">
        <v>35</v>
      </c>
      <c r="F13" s="598">
        <f>SUM(F8:F12)</f>
        <v>306189</v>
      </c>
      <c r="G13" s="598">
        <f>SUM(G8:G12)</f>
        <v>61054</v>
      </c>
      <c r="H13" s="598">
        <f>SUM(H8:H12)</f>
        <v>0</v>
      </c>
      <c r="I13" s="598">
        <f>SUM(I8:I12)</f>
        <v>0</v>
      </c>
      <c r="J13" s="598">
        <f>SUM(J8:J12)</f>
        <v>357926</v>
      </c>
      <c r="K13" s="598">
        <f t="shared" si="0"/>
        <v>367243</v>
      </c>
      <c r="L13" s="86"/>
      <c r="M13" s="747"/>
      <c r="N13" s="4"/>
    </row>
    <row r="16" spans="1:14" ht="16.5" customHeight="1" x14ac:dyDescent="0.2">
      <c r="A16" s="605" t="s">
        <v>161</v>
      </c>
      <c r="B16" s="605"/>
      <c r="C16" s="606"/>
      <c r="D16" s="605"/>
      <c r="E16" s="128"/>
      <c r="F16" s="129" t="s">
        <v>101</v>
      </c>
      <c r="G16" s="631" t="s">
        <v>23</v>
      </c>
    </row>
    <row r="17" spans="1:27" x14ac:dyDescent="0.2">
      <c r="A17" s="68"/>
      <c r="B17" s="130"/>
      <c r="C17" s="69" t="s">
        <v>162</v>
      </c>
      <c r="D17" s="130"/>
      <c r="E17" s="131" t="s">
        <v>37</v>
      </c>
      <c r="F17" s="598">
        <f>'[3]Page 3'!$F$17</f>
        <v>0</v>
      </c>
      <c r="G17" s="102">
        <v>0</v>
      </c>
    </row>
    <row r="18" spans="1:27" ht="15" x14ac:dyDescent="0.2">
      <c r="A18" s="86"/>
      <c r="B18" s="594"/>
      <c r="C18" t="s">
        <v>163</v>
      </c>
      <c r="D18" s="594"/>
      <c r="E18" s="61" t="s">
        <v>39</v>
      </c>
      <c r="F18" s="598">
        <f>'[3]Page 3'!$F$18</f>
        <v>0</v>
      </c>
      <c r="G18" s="597">
        <f>SUMIFS('Accounting data'!$G$2:$G$37000,'Accounting data'!$H$2:$H$37000,"1010*",'Accounting data'!$K$2:$K$37000,"685*")</f>
        <v>0</v>
      </c>
      <c r="AA18" s="132" t="str">
        <f>IF(OR(F17="",F18="",F19=""),"yes","")</f>
        <v/>
      </c>
    </row>
    <row r="19" spans="1:27" x14ac:dyDescent="0.2">
      <c r="A19" s="90"/>
      <c r="B19" s="133"/>
      <c r="C19" s="2" t="s">
        <v>164</v>
      </c>
      <c r="D19" s="133"/>
      <c r="E19" s="134" t="s">
        <v>41</v>
      </c>
      <c r="F19" s="598">
        <f>'[3]Page 3'!$F$19</f>
        <v>0</v>
      </c>
      <c r="G19" s="102">
        <v>0</v>
      </c>
    </row>
    <row r="21" spans="1:27" x14ac:dyDescent="0.2">
      <c r="D21" s="2"/>
      <c r="E21" s="135"/>
      <c r="F21" s="2"/>
    </row>
    <row r="22" spans="1:27" x14ac:dyDescent="0.2">
      <c r="A22" s="136"/>
      <c r="B22" s="137"/>
      <c r="C22" s="137"/>
      <c r="D22" s="137"/>
      <c r="E22" s="137"/>
      <c r="F22" s="71" t="s">
        <v>165</v>
      </c>
    </row>
    <row r="23" spans="1:27" x14ac:dyDescent="0.2">
      <c r="A23" s="138" t="s">
        <v>166</v>
      </c>
      <c r="B23" s="139"/>
      <c r="C23" s="139"/>
      <c r="D23" s="140"/>
      <c r="E23" s="135"/>
      <c r="F23" s="83">
        <v>1010</v>
      </c>
    </row>
    <row r="24" spans="1:27" x14ac:dyDescent="0.2">
      <c r="A24" s="68" t="s">
        <v>167</v>
      </c>
      <c r="B24" s="69"/>
      <c r="C24" s="69"/>
      <c r="D24" s="130"/>
      <c r="E24" s="141" t="s">
        <v>43</v>
      </c>
      <c r="F24" s="596">
        <v>0</v>
      </c>
    </row>
    <row r="25" spans="1:27" x14ac:dyDescent="0.2">
      <c r="A25" s="86"/>
      <c r="B25" t="s">
        <v>168</v>
      </c>
      <c r="D25" s="115"/>
      <c r="E25" s="61" t="s">
        <v>45</v>
      </c>
      <c r="F25" s="598">
        <f>-(SUMIFS('Accounting data'!$G$2:$G$37000,'Accounting data'!$H$2:$H$37000,"1010*",'Accounting data'!$K$2:$K$37000,"3*"))</f>
        <v>367243</v>
      </c>
    </row>
    <row r="26" spans="1:27" x14ac:dyDescent="0.2">
      <c r="A26" s="86"/>
      <c r="B26" t="s">
        <v>169</v>
      </c>
      <c r="D26" s="115"/>
      <c r="E26" s="141" t="s">
        <v>47</v>
      </c>
      <c r="F26" s="598">
        <f>-(SUMIFS('Accounting data'!$G$2:$G$37000,'Accounting data'!$H$2:$H$37000,"1010*",'Accounting data'!$K$2:$K$37000,"15*"))</f>
        <v>0</v>
      </c>
    </row>
    <row r="27" spans="1:27" x14ac:dyDescent="0.2">
      <c r="A27" s="86" t="s">
        <v>170</v>
      </c>
      <c r="D27" s="115"/>
      <c r="E27" s="141" t="s">
        <v>49</v>
      </c>
      <c r="F27" s="598">
        <f>F25+F26</f>
        <v>367243</v>
      </c>
    </row>
    <row r="28" spans="1:27" x14ac:dyDescent="0.2">
      <c r="A28" s="86" t="s">
        <v>171</v>
      </c>
      <c r="D28" s="115"/>
      <c r="E28" s="141" t="s">
        <v>51</v>
      </c>
      <c r="F28" s="598">
        <f>F24+F27</f>
        <v>367243</v>
      </c>
    </row>
    <row r="29" spans="1:27" x14ac:dyDescent="0.2">
      <c r="A29" s="86" t="s">
        <v>172</v>
      </c>
      <c r="D29" s="115"/>
      <c r="E29" s="141" t="s">
        <v>53</v>
      </c>
      <c r="F29" s="598">
        <f>K13+G17+G18+G19</f>
        <v>367243</v>
      </c>
    </row>
    <row r="30" spans="1:27" x14ac:dyDescent="0.2">
      <c r="A30" s="90" t="s">
        <v>173</v>
      </c>
      <c r="B30" s="2"/>
      <c r="C30" s="2"/>
      <c r="D30" s="119"/>
      <c r="E30" s="142" t="s">
        <v>55</v>
      </c>
      <c r="F30" s="598">
        <f>F28-F29</f>
        <v>0</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topLeftCell="A4" zoomScaleNormal="100" workbookViewId="0">
      <selection activeCell="F29" sqref="F29"/>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5" t="s">
        <v>0</v>
      </c>
      <c r="C1" s="730" t="str">
        <f>'Cover Page'!D1</f>
        <v>ASU Preparatory Academy - Phoenix Middle School</v>
      </c>
      <c r="D1" s="730"/>
      <c r="F1" s="613"/>
      <c r="G1" s="57" t="s">
        <v>1</v>
      </c>
      <c r="H1" s="730" t="str">
        <f>'Cover Page'!M1</f>
        <v>Maricopa</v>
      </c>
      <c r="I1" s="730"/>
      <c r="J1" s="613"/>
      <c r="K1" s="57"/>
      <c r="L1" s="57" t="s">
        <v>2</v>
      </c>
      <c r="M1" s="615" t="str">
        <f>'Cover Page'!R1</f>
        <v>078250000</v>
      </c>
    </row>
    <row r="2" spans="1:27" ht="12.75" customHeight="1" x14ac:dyDescent="0.2">
      <c r="A2" s="613"/>
      <c r="B2" s="613"/>
      <c r="C2" s="613"/>
      <c r="D2" s="613"/>
      <c r="E2" s="613"/>
      <c r="F2" s="613"/>
      <c r="G2" s="613"/>
      <c r="H2" s="613"/>
      <c r="I2" s="613"/>
      <c r="J2" s="613"/>
    </row>
    <row r="3" spans="1:27" ht="12.75" customHeight="1" x14ac:dyDescent="0.2">
      <c r="A3" s="143"/>
      <c r="B3" s="69"/>
      <c r="C3" s="69"/>
      <c r="D3" s="69"/>
      <c r="E3" s="69"/>
      <c r="F3" s="143" t="s">
        <v>20</v>
      </c>
      <c r="G3" s="620" t="s">
        <v>174</v>
      </c>
      <c r="H3" s="745" t="s">
        <v>90</v>
      </c>
      <c r="I3" s="746"/>
      <c r="J3" s="613"/>
    </row>
    <row r="4" spans="1:27" ht="12.75" customHeight="1" x14ac:dyDescent="0.2">
      <c r="A4" s="114" t="s">
        <v>92</v>
      </c>
      <c r="F4" s="76" t="s">
        <v>175</v>
      </c>
      <c r="G4" s="78" t="s">
        <v>95</v>
      </c>
      <c r="H4" s="620"/>
      <c r="I4" s="144"/>
      <c r="J4" s="613"/>
    </row>
    <row r="5" spans="1:27" ht="12.75" customHeight="1" x14ac:dyDescent="0.2">
      <c r="A5" s="90"/>
      <c r="B5" s="2"/>
      <c r="C5" s="2"/>
      <c r="D5" s="2"/>
      <c r="E5" s="2"/>
      <c r="F5" s="76">
        <v>1000</v>
      </c>
      <c r="G5" s="78">
        <v>2000</v>
      </c>
      <c r="H5" s="83" t="s">
        <v>101</v>
      </c>
      <c r="I5" s="626" t="s">
        <v>23</v>
      </c>
      <c r="J5" s="613"/>
    </row>
    <row r="6" spans="1:27" ht="12.75" customHeight="1" x14ac:dyDescent="0.2">
      <c r="A6" s="84" t="s">
        <v>176</v>
      </c>
      <c r="B6" s="69"/>
      <c r="C6" s="69"/>
      <c r="D6" s="69"/>
      <c r="E6" s="145"/>
      <c r="F6" s="146"/>
      <c r="G6" s="146"/>
      <c r="H6" s="146"/>
      <c r="I6" s="146"/>
      <c r="J6" s="147"/>
    </row>
    <row r="7" spans="1:27" ht="12.75" customHeight="1" x14ac:dyDescent="0.2">
      <c r="A7" s="86"/>
      <c r="B7" t="s">
        <v>177</v>
      </c>
      <c r="E7" s="148">
        <v>1</v>
      </c>
      <c r="F7" s="48">
        <v>0</v>
      </c>
      <c r="G7" s="48">
        <v>0</v>
      </c>
      <c r="H7" s="603">
        <f>[3]!IIPTeacherCompensationIncreases</f>
        <v>0</v>
      </c>
      <c r="I7" s="603">
        <f>SUM(F7:G7)</f>
        <v>0</v>
      </c>
      <c r="J7" s="149">
        <v>1</v>
      </c>
      <c r="AA7" s="46" t="str">
        <f>IF(OR(F7="",F8="",F9="",F10="",G7="",G9="",G10="",G23="",G24="",G25="",G26="",G27=""),"yes","")</f>
        <v/>
      </c>
    </row>
    <row r="8" spans="1:27" ht="12.75" customHeight="1" x14ac:dyDescent="0.2">
      <c r="A8" s="86"/>
      <c r="B8" t="s">
        <v>178</v>
      </c>
      <c r="E8" s="150">
        <v>2</v>
      </c>
      <c r="F8" s="48">
        <v>0</v>
      </c>
      <c r="G8" s="151"/>
      <c r="H8" s="596">
        <f>[3]!IIPClassSizeReduction</f>
        <v>0</v>
      </c>
      <c r="I8" s="598">
        <f>SUM(F8:G8)</f>
        <v>0</v>
      </c>
      <c r="J8" s="149">
        <v>2</v>
      </c>
    </row>
    <row r="9" spans="1:27" ht="12.75" customHeight="1" x14ac:dyDescent="0.2">
      <c r="A9" s="86"/>
      <c r="B9" t="s">
        <v>179</v>
      </c>
      <c r="E9" s="150">
        <v>3</v>
      </c>
      <c r="F9" s="47">
        <v>0</v>
      </c>
      <c r="G9" s="47">
        <v>0</v>
      </c>
      <c r="H9" s="596">
        <f>[3]!IIPDropoutPreventionPrograms</f>
        <v>0</v>
      </c>
      <c r="I9" s="598">
        <f>SUM(F9:G9)</f>
        <v>0</v>
      </c>
      <c r="J9" s="149">
        <v>3</v>
      </c>
    </row>
    <row r="10" spans="1:27" ht="12.75" customHeight="1" x14ac:dyDescent="0.2">
      <c r="A10" s="86"/>
      <c r="B10" t="s">
        <v>180</v>
      </c>
      <c r="E10" s="150">
        <v>4</v>
      </c>
      <c r="F10" s="47">
        <v>30480</v>
      </c>
      <c r="G10" s="47">
        <v>0</v>
      </c>
      <c r="H10" s="596">
        <f>[3]!IIPInstructionalImprovementPrograms</f>
        <v>19064</v>
      </c>
      <c r="I10" s="598">
        <f>SUM(F10:G10)</f>
        <v>30480</v>
      </c>
      <c r="J10" s="149">
        <v>4</v>
      </c>
      <c r="K10" s="725" t="str">
        <f>IF('Page 2'!J48=0,"",IF(('Page 4'!I11=0),"If the Charter did not have any expense, verify by checking the box in A18 on the Cover Page.",""))</f>
        <v/>
      </c>
      <c r="L10" s="725"/>
      <c r="M10" s="725"/>
      <c r="N10" s="725"/>
      <c r="O10" s="725"/>
      <c r="P10" s="725"/>
      <c r="Q10" s="725"/>
      <c r="R10" s="725"/>
      <c r="S10" s="725"/>
      <c r="T10" s="725"/>
      <c r="U10" s="725"/>
      <c r="V10" s="725"/>
      <c r="W10" s="725"/>
      <c r="X10" s="725"/>
      <c r="Y10" s="725"/>
      <c r="Z10" s="725"/>
    </row>
    <row r="11" spans="1:27" ht="12.75" customHeight="1" x14ac:dyDescent="0.2">
      <c r="A11" s="90" t="s">
        <v>181</v>
      </c>
      <c r="B11" s="2"/>
      <c r="C11" s="2"/>
      <c r="D11" s="2"/>
      <c r="E11" s="152">
        <v>5</v>
      </c>
      <c r="F11" s="598">
        <f>SUM(F6:F10)</f>
        <v>30480</v>
      </c>
      <c r="G11" s="598">
        <f>SUM(G6:G10)</f>
        <v>0</v>
      </c>
      <c r="H11" s="598">
        <f>SUM(H7:H10)</f>
        <v>19064</v>
      </c>
      <c r="I11" s="598">
        <f>SUM(I7:I10)</f>
        <v>30480</v>
      </c>
      <c r="J11" s="149">
        <v>5</v>
      </c>
      <c r="K11" s="725" t="str">
        <f>IF('Page 2'!J48=0,"",IF(('Page 4'!I11&lt;&gt;'Page 2'!J44),"Total expenses for Instructional Improvement Project on line 5 should agree to the line 35 on page 2.",""))</f>
        <v/>
      </c>
      <c r="L11" s="725"/>
      <c r="M11" s="725"/>
      <c r="N11" s="725"/>
      <c r="O11" s="725"/>
      <c r="P11" s="725"/>
      <c r="Q11" s="725"/>
      <c r="R11" s="725"/>
      <c r="S11" s="725"/>
      <c r="T11" s="725"/>
      <c r="U11" s="725"/>
      <c r="V11" s="725"/>
      <c r="W11" s="725"/>
      <c r="X11" s="725"/>
      <c r="Y11" s="725"/>
      <c r="Z11" s="725"/>
    </row>
    <row r="12" spans="1:27" ht="12.75" customHeight="1" x14ac:dyDescent="0.2">
      <c r="K12" s="617"/>
    </row>
    <row r="13" spans="1:27" ht="12.75" customHeight="1" x14ac:dyDescent="0.2">
      <c r="A13" s="68"/>
      <c r="B13" s="69"/>
      <c r="C13" s="69"/>
      <c r="D13" s="69"/>
      <c r="E13" s="70"/>
      <c r="F13" s="80"/>
    </row>
    <row r="14" spans="1:27" ht="12.75" customHeight="1" x14ac:dyDescent="0.2">
      <c r="A14" s="81" t="s">
        <v>182</v>
      </c>
      <c r="B14" s="2"/>
      <c r="C14" s="2"/>
      <c r="D14" s="2"/>
      <c r="E14" s="82"/>
      <c r="F14" s="153" t="s">
        <v>23</v>
      </c>
    </row>
    <row r="15" spans="1:27" ht="12.75" customHeight="1" x14ac:dyDescent="0.2">
      <c r="A15" s="86" t="s">
        <v>167</v>
      </c>
      <c r="B15" s="613"/>
      <c r="D15" s="154"/>
      <c r="E15" s="155">
        <v>6</v>
      </c>
      <c r="F15" s="596">
        <f>[4]!AddlInstrImprProjEndBal</f>
        <v>0</v>
      </c>
      <c r="G15" s="149">
        <v>6</v>
      </c>
      <c r="I15" s="617"/>
      <c r="J15" s="617"/>
    </row>
    <row r="16" spans="1:27" ht="12.75" customHeight="1" x14ac:dyDescent="0.2">
      <c r="A16" s="156" t="s">
        <v>168</v>
      </c>
      <c r="B16" s="24"/>
      <c r="D16" s="157"/>
      <c r="E16" s="155">
        <v>7</v>
      </c>
      <c r="F16" s="598">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30480</v>
      </c>
      <c r="G16" s="149">
        <v>7</v>
      </c>
      <c r="I16" s="617"/>
      <c r="J16" s="617"/>
    </row>
    <row r="17" spans="1:12" ht="12.75" customHeight="1" x14ac:dyDescent="0.2">
      <c r="A17" s="156" t="s">
        <v>183</v>
      </c>
      <c r="B17" s="24"/>
      <c r="D17" s="157"/>
      <c r="E17" s="155">
        <v>8</v>
      </c>
      <c r="F17" s="598">
        <f>SUM(F15:F16)</f>
        <v>30480</v>
      </c>
      <c r="G17" s="149">
        <v>8</v>
      </c>
      <c r="I17" s="617"/>
      <c r="J17" s="617"/>
    </row>
    <row r="18" spans="1:12" ht="12.75" customHeight="1" x14ac:dyDescent="0.2">
      <c r="A18" s="156" t="s">
        <v>184</v>
      </c>
      <c r="D18" s="157"/>
      <c r="E18" s="155">
        <v>9</v>
      </c>
      <c r="F18" s="598">
        <f>ActualTotalInstImpExp</f>
        <v>30480</v>
      </c>
      <c r="G18" s="149">
        <v>9</v>
      </c>
      <c r="I18" s="617"/>
      <c r="J18" s="617"/>
    </row>
    <row r="19" spans="1:12" ht="12.75" customHeight="1" x14ac:dyDescent="0.2">
      <c r="A19" s="158" t="s">
        <v>185</v>
      </c>
      <c r="B19" s="2"/>
      <c r="C19" s="2"/>
      <c r="D19" s="159"/>
      <c r="E19" s="160">
        <v>10</v>
      </c>
      <c r="F19" s="598">
        <f>F17-F18</f>
        <v>0</v>
      </c>
      <c r="G19" s="149">
        <v>10</v>
      </c>
    </row>
    <row r="20" spans="1:12" ht="12.75" customHeight="1" x14ac:dyDescent="0.2">
      <c r="A20" s="154"/>
      <c r="D20" s="154"/>
      <c r="E20" s="155"/>
      <c r="F20" s="161"/>
      <c r="G20" s="149"/>
    </row>
    <row r="21" spans="1:12" ht="12.75" customHeight="1" x14ac:dyDescent="0.2">
      <c r="A21" s="68"/>
      <c r="B21" s="69"/>
      <c r="C21" s="69"/>
      <c r="D21" s="162"/>
      <c r="E21" s="163"/>
      <c r="F21" s="164"/>
      <c r="G21" s="164"/>
      <c r="H21" s="149"/>
    </row>
    <row r="22" spans="1:12" ht="12.75" customHeight="1" x14ac:dyDescent="0.2">
      <c r="A22" s="748" t="s">
        <v>186</v>
      </c>
      <c r="B22" s="748"/>
      <c r="C22" s="748"/>
      <c r="D22" s="748"/>
      <c r="E22" s="165"/>
      <c r="F22" s="166" t="s">
        <v>101</v>
      </c>
      <c r="G22" s="166" t="s">
        <v>23</v>
      </c>
      <c r="H22" s="167"/>
    </row>
    <row r="23" spans="1:12" ht="12.75" customHeight="1" x14ac:dyDescent="0.2">
      <c r="A23" s="168"/>
      <c r="B23" s="69" t="s">
        <v>187</v>
      </c>
      <c r="C23" s="69"/>
      <c r="D23" s="169"/>
      <c r="E23" s="170">
        <v>1</v>
      </c>
      <c r="F23" s="171"/>
      <c r="G23" s="49">
        <v>0</v>
      </c>
      <c r="H23" s="172">
        <v>1</v>
      </c>
    </row>
    <row r="24" spans="1:12" ht="12.75" customHeight="1" x14ac:dyDescent="0.2">
      <c r="A24" s="173"/>
      <c r="B24" t="s">
        <v>188</v>
      </c>
      <c r="D24" s="157"/>
      <c r="E24" s="174">
        <v>2</v>
      </c>
      <c r="F24" s="171"/>
      <c r="G24" s="49">
        <v>0</v>
      </c>
      <c r="H24" s="172">
        <v>2</v>
      </c>
    </row>
    <row r="25" spans="1:12" ht="12.75" customHeight="1" x14ac:dyDescent="0.2">
      <c r="A25" s="173"/>
      <c r="B25" t="s">
        <v>189</v>
      </c>
      <c r="D25" s="157"/>
      <c r="E25" s="174">
        <v>3</v>
      </c>
      <c r="F25" s="171"/>
      <c r="G25" s="49">
        <v>0</v>
      </c>
      <c r="H25" s="172">
        <v>3</v>
      </c>
    </row>
    <row r="26" spans="1:12" ht="12.75" customHeight="1" x14ac:dyDescent="0.2">
      <c r="A26" s="173"/>
      <c r="B26" t="s">
        <v>190</v>
      </c>
      <c r="D26" s="157"/>
      <c r="E26" s="174">
        <v>4</v>
      </c>
      <c r="F26" s="171"/>
      <c r="G26" s="49">
        <v>0</v>
      </c>
      <c r="H26" s="172">
        <v>4</v>
      </c>
    </row>
    <row r="27" spans="1:12" ht="12.75" customHeight="1" x14ac:dyDescent="0.2">
      <c r="A27" s="173"/>
      <c r="B27" t="s">
        <v>191</v>
      </c>
      <c r="D27" s="157"/>
      <c r="E27" s="174">
        <v>5</v>
      </c>
      <c r="F27" s="171"/>
      <c r="G27" s="49">
        <v>0</v>
      </c>
      <c r="H27" s="172">
        <v>5</v>
      </c>
    </row>
    <row r="28" spans="1:12" ht="12.75" customHeight="1" x14ac:dyDescent="0.2">
      <c r="A28" s="90" t="s">
        <v>192</v>
      </c>
      <c r="B28" s="2"/>
      <c r="C28" s="2"/>
      <c r="D28" s="2"/>
      <c r="E28" s="175">
        <v>6</v>
      </c>
      <c r="F28" s="596">
        <f>'[3]Page 2'!$E$34</f>
        <v>0</v>
      </c>
      <c r="G28" s="598">
        <f>SUM(G23:G27)</f>
        <v>0</v>
      </c>
      <c r="H28" s="172">
        <v>6</v>
      </c>
      <c r="I28" s="613"/>
      <c r="J28" s="613"/>
      <c r="K28" s="613"/>
      <c r="L28" s="613"/>
    </row>
    <row r="29" spans="1:12" ht="12.75" customHeight="1" x14ac:dyDescent="0.2">
      <c r="F29" s="176"/>
      <c r="G29" s="176"/>
      <c r="H29" s="176"/>
      <c r="I29" s="176"/>
      <c r="J29" s="176"/>
      <c r="K29" s="177"/>
      <c r="L29" s="176"/>
    </row>
    <row r="30" spans="1:12" ht="11.25" customHeight="1" x14ac:dyDescent="0.2">
      <c r="A30" s="614"/>
      <c r="D30" s="613"/>
      <c r="F30" s="1"/>
      <c r="G30" s="1"/>
    </row>
    <row r="31" spans="1:12" ht="11.25" customHeight="1" x14ac:dyDescent="0.2">
      <c r="A31" s="593"/>
      <c r="B31" s="178"/>
      <c r="C31" s="178"/>
      <c r="D31" s="179"/>
      <c r="E31" s="178"/>
      <c r="F31" s="180"/>
      <c r="G31" s="181"/>
      <c r="H31" s="182"/>
    </row>
    <row r="32" spans="1:12" ht="11.25" customHeight="1" x14ac:dyDescent="0.2">
      <c r="A32" s="593"/>
      <c r="B32" s="178"/>
      <c r="C32" s="178"/>
      <c r="D32" s="179"/>
      <c r="E32" s="178"/>
      <c r="F32" s="180"/>
      <c r="G32" s="181"/>
      <c r="H32" s="182"/>
    </row>
    <row r="33" spans="1:8" ht="11.25" customHeight="1" x14ac:dyDescent="0.2">
      <c r="A33" s="593"/>
      <c r="B33" s="178"/>
      <c r="C33" s="178"/>
      <c r="D33" s="179"/>
      <c r="E33" s="178"/>
      <c r="F33" s="180"/>
      <c r="G33" s="181"/>
      <c r="H33" s="182"/>
    </row>
    <row r="34" spans="1:8" ht="11.25" customHeight="1" x14ac:dyDescent="0.2">
      <c r="A34" s="593"/>
      <c r="B34" s="178"/>
      <c r="C34" s="178"/>
      <c r="D34" s="179"/>
      <c r="E34" s="178"/>
      <c r="F34" s="180"/>
      <c r="G34" s="181"/>
      <c r="H34" s="182"/>
    </row>
    <row r="35" spans="1:8" ht="11.25" customHeight="1" x14ac:dyDescent="0.2">
      <c r="A35" s="593"/>
      <c r="B35" s="178"/>
      <c r="C35" s="178"/>
      <c r="D35" s="179"/>
      <c r="E35" s="178"/>
      <c r="F35" s="180"/>
      <c r="G35" s="181"/>
      <c r="H35" s="182"/>
    </row>
    <row r="36" spans="1:8" ht="11.25" customHeight="1" x14ac:dyDescent="0.2">
      <c r="A36" s="593"/>
      <c r="D36" s="593"/>
      <c r="F36" s="183"/>
      <c r="G36" s="183"/>
      <c r="H36" s="88"/>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topLeftCell="A10" zoomScaleNormal="100" workbookViewId="0"/>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5" t="s">
        <v>0</v>
      </c>
      <c r="D1" s="730" t="str">
        <f>'Cover Page'!D1</f>
        <v>ASU Preparatory Academy - Phoenix Middle School</v>
      </c>
      <c r="E1" s="730"/>
      <c r="F1" s="613"/>
      <c r="G1" s="613"/>
      <c r="I1" s="57" t="s">
        <v>1</v>
      </c>
      <c r="J1" s="730" t="str">
        <f>'Cover Page'!M1</f>
        <v>Maricopa</v>
      </c>
      <c r="K1" s="730"/>
      <c r="M1" s="57" t="s">
        <v>2</v>
      </c>
      <c r="N1" s="57"/>
      <c r="O1" s="615" t="str">
        <f>'Cover Page'!R1</f>
        <v>078250000</v>
      </c>
    </row>
    <row r="2" spans="1:28" ht="12" customHeight="1" x14ac:dyDescent="0.2">
      <c r="A2" s="65"/>
      <c r="B2" s="65"/>
      <c r="C2" s="65"/>
      <c r="D2" s="65"/>
      <c r="E2" s="65"/>
      <c r="F2" s="65"/>
      <c r="G2" s="65"/>
      <c r="H2" s="65"/>
      <c r="I2" s="65"/>
      <c r="J2" s="65"/>
    </row>
    <row r="3" spans="1:28" ht="12" customHeight="1" x14ac:dyDescent="0.2">
      <c r="A3" s="84"/>
      <c r="B3" s="69"/>
      <c r="C3" s="69"/>
      <c r="D3" s="69"/>
      <c r="E3" s="70"/>
      <c r="F3" s="184" t="s">
        <v>193</v>
      </c>
      <c r="G3" s="70"/>
      <c r="H3" s="620"/>
      <c r="I3" s="185" t="s">
        <v>194</v>
      </c>
      <c r="J3" s="620" t="s">
        <v>89</v>
      </c>
      <c r="K3" s="70"/>
      <c r="L3" s="80"/>
      <c r="M3" s="745" t="s">
        <v>195</v>
      </c>
      <c r="N3" s="755"/>
      <c r="O3" s="620" t="s">
        <v>196</v>
      </c>
    </row>
    <row r="4" spans="1:28" ht="12" customHeight="1" x14ac:dyDescent="0.2">
      <c r="A4" s="92" t="s">
        <v>197</v>
      </c>
      <c r="E4" s="75"/>
      <c r="F4" s="78" t="s">
        <v>198</v>
      </c>
      <c r="G4" s="144" t="s">
        <v>23</v>
      </c>
      <c r="H4" s="78" t="s">
        <v>93</v>
      </c>
      <c r="I4" s="76" t="s">
        <v>94</v>
      </c>
      <c r="J4" s="78" t="s">
        <v>95</v>
      </c>
      <c r="K4" s="144" t="s">
        <v>96</v>
      </c>
      <c r="L4" s="78" t="s">
        <v>97</v>
      </c>
      <c r="M4" s="186"/>
      <c r="O4" s="78" t="s">
        <v>198</v>
      </c>
    </row>
    <row r="5" spans="1:28" ht="12" customHeight="1" x14ac:dyDescent="0.2">
      <c r="A5" s="90"/>
      <c r="B5" s="2"/>
      <c r="C5" s="2"/>
      <c r="D5" s="2"/>
      <c r="E5" s="187"/>
      <c r="F5" s="83" t="s">
        <v>199</v>
      </c>
      <c r="G5" s="188" t="s">
        <v>200</v>
      </c>
      <c r="H5" s="83">
        <v>6100</v>
      </c>
      <c r="I5" s="625">
        <v>6200</v>
      </c>
      <c r="J5" s="83" t="s">
        <v>100</v>
      </c>
      <c r="K5" s="626">
        <v>6600</v>
      </c>
      <c r="L5" s="83">
        <v>6800</v>
      </c>
      <c r="M5" s="189" t="s">
        <v>101</v>
      </c>
      <c r="N5" s="190" t="s">
        <v>23</v>
      </c>
      <c r="O5" s="83" t="s">
        <v>199</v>
      </c>
    </row>
    <row r="6" spans="1:28" ht="11.25" customHeight="1" x14ac:dyDescent="0.2">
      <c r="A6" s="84" t="s">
        <v>201</v>
      </c>
      <c r="B6" s="69"/>
      <c r="C6" s="69"/>
      <c r="D6" s="69"/>
      <c r="F6" s="751"/>
      <c r="G6" s="751"/>
      <c r="H6" s="751"/>
      <c r="I6" s="751"/>
      <c r="J6" s="751"/>
      <c r="K6" s="751"/>
      <c r="L6" s="751"/>
      <c r="M6" s="751"/>
      <c r="N6" s="621"/>
      <c r="O6" s="751"/>
    </row>
    <row r="7" spans="1:28" ht="11.25" customHeight="1" x14ac:dyDescent="0.2">
      <c r="A7" s="114" t="s">
        <v>168</v>
      </c>
      <c r="E7" s="191"/>
      <c r="F7" s="752"/>
      <c r="G7" s="752"/>
      <c r="H7" s="752"/>
      <c r="I7" s="752"/>
      <c r="J7" s="752"/>
      <c r="K7" s="752"/>
      <c r="L7" s="752"/>
      <c r="M7" s="752"/>
      <c r="N7" s="622"/>
      <c r="O7" s="752"/>
      <c r="V7" s="594"/>
    </row>
    <row r="8" spans="1:28" ht="12" customHeight="1" x14ac:dyDescent="0.2">
      <c r="A8" s="114"/>
      <c r="B8" t="s">
        <v>202</v>
      </c>
      <c r="E8" s="191">
        <v>1</v>
      </c>
      <c r="F8" s="192"/>
      <c r="G8" s="598">
        <f>-(SUMIFS('Accounting data'!$G$2:$G$37000,'Accounting data'!$H$2:$H$37000,"1071*",'Accounting data'!$K$2:$K$37000,"32*"))</f>
        <v>0</v>
      </c>
      <c r="H8" s="192"/>
      <c r="I8" s="192"/>
      <c r="J8" s="192"/>
      <c r="K8" s="192"/>
      <c r="L8" s="192"/>
      <c r="M8" s="192"/>
      <c r="N8" s="192"/>
      <c r="O8" s="192"/>
      <c r="P8" s="149">
        <v>1</v>
      </c>
      <c r="V8" s="594"/>
    </row>
    <row r="9" spans="1:28" ht="12" customHeight="1" x14ac:dyDescent="0.2">
      <c r="A9" s="114"/>
      <c r="B9" t="s">
        <v>203</v>
      </c>
      <c r="E9" s="191">
        <v>2</v>
      </c>
      <c r="F9" s="192"/>
      <c r="G9" s="598">
        <f>-(SUMIFS('Accounting data'!$G$2:$G$37000,'Accounting data'!$H$2:$H$37000,"1071*",'Accounting data'!$K$2:$K$37000,"15*"))</f>
        <v>0</v>
      </c>
      <c r="H9" s="192"/>
      <c r="I9" s="192"/>
      <c r="J9" s="192"/>
      <c r="K9" s="192"/>
      <c r="L9" s="192"/>
      <c r="M9" s="192"/>
      <c r="N9" s="192"/>
      <c r="O9" s="192"/>
      <c r="P9" s="149">
        <v>2</v>
      </c>
      <c r="V9" s="594"/>
    </row>
    <row r="10" spans="1:28" ht="12" customHeight="1" x14ac:dyDescent="0.2">
      <c r="A10" s="86" t="s">
        <v>204</v>
      </c>
      <c r="E10" s="191">
        <v>3</v>
      </c>
      <c r="F10" s="192"/>
      <c r="G10" s="598">
        <f>SUM(G8:G9)</f>
        <v>0</v>
      </c>
      <c r="H10" s="193"/>
      <c r="I10" s="193"/>
      <c r="J10" s="193"/>
      <c r="K10" s="193"/>
      <c r="L10" s="193"/>
      <c r="M10" s="192"/>
      <c r="N10" s="192"/>
      <c r="O10" s="192"/>
      <c r="P10" s="149">
        <v>3</v>
      </c>
      <c r="V10" s="594"/>
    </row>
    <row r="11" spans="1:28" ht="11.25" customHeight="1" x14ac:dyDescent="0.2">
      <c r="A11" s="114" t="s">
        <v>92</v>
      </c>
      <c r="E11" s="194"/>
      <c r="F11" s="195"/>
      <c r="G11" s="758"/>
      <c r="H11" s="196"/>
      <c r="I11" s="196"/>
      <c r="J11" s="196"/>
      <c r="K11" s="196"/>
      <c r="L11" s="196"/>
      <c r="M11" s="196"/>
      <c r="N11" s="196"/>
      <c r="O11" s="197"/>
      <c r="AB11" s="594"/>
    </row>
    <row r="12" spans="1:28" ht="12" customHeight="1" x14ac:dyDescent="0.2">
      <c r="A12" s="86" t="s">
        <v>205</v>
      </c>
      <c r="F12" s="198"/>
      <c r="G12" s="759"/>
      <c r="H12" s="199"/>
      <c r="I12" s="199"/>
      <c r="J12" s="199"/>
      <c r="K12" s="199"/>
      <c r="L12" s="199"/>
      <c r="M12" s="199"/>
      <c r="N12" s="199"/>
      <c r="O12" s="200"/>
    </row>
    <row r="13" spans="1:28" ht="12" customHeight="1" x14ac:dyDescent="0.2">
      <c r="A13" s="86"/>
      <c r="B13" t="s">
        <v>206</v>
      </c>
      <c r="E13" s="194">
        <v>4</v>
      </c>
      <c r="F13" s="201"/>
      <c r="G13" s="760"/>
      <c r="H13" s="603">
        <f>SUMIFS('Accounting data'!$G$2:$G$37000,'Accounting data'!$H$2:$H$37000,"1071*",'Accounting data'!$I$2:$I$37000,"260*",'Accounting data'!$J$2:$J$37000,"1*",'Accounting data'!$K$2:$K$37000,"61*")</f>
        <v>0</v>
      </c>
      <c r="I13" s="603">
        <f>SUMIFS('Accounting data'!$G$2:$G$37000,'Accounting data'!$H$2:$H$37000,"1071*",'Accounting data'!$I$2:$I$37000,"260*",'Accounting data'!$J$2:$J$37000,"1*",'Accounting data'!$K$2:$K$37000,"62*")</f>
        <v>0</v>
      </c>
      <c r="J13" s="603">
        <f>SUMIFS('Accounting data'!$G$2:$G$37000,'Accounting data'!$H$2:$H$37000,"1071*",'Accounting data'!$I$2:$I$37000,"260*",'Accounting data'!$J$2:$J$37000,"1*",'Accounting data'!$K$2:$K$37000,"63*")</f>
        <v>0</v>
      </c>
      <c r="K13" s="603">
        <f>SUMIFS('Accounting data'!$G$2:$G$37000,'Accounting data'!$H$2:$H$37000,"1071*",'Accounting data'!$I$2:$I$37000,"260*",'Accounting data'!$J$2:$J$37000,"1*",'Accounting data'!$K$2:$K$37000,"66*")</f>
        <v>0</v>
      </c>
      <c r="L13" s="603">
        <f>SUMIFS('Accounting data'!$G$2:$G$37000,'Accounting data'!$H$2:$H$37000,"1071*",'Accounting data'!$I$2:$I$37000,"260*",'Accounting data'!$J$2:$J$37000,"1*",'Accounting data'!$K$2:$K$37000,"68*")</f>
        <v>0</v>
      </c>
      <c r="M13" s="603">
        <f>[3]!SEIP1071P260F1000</f>
        <v>0</v>
      </c>
      <c r="N13" s="603">
        <f>SUM(H13:L13)</f>
        <v>0</v>
      </c>
      <c r="O13" s="202"/>
      <c r="P13" s="149">
        <v>4</v>
      </c>
    </row>
    <row r="14" spans="1:28" ht="12" customHeight="1" x14ac:dyDescent="0.2">
      <c r="A14" s="86"/>
      <c r="B14" t="s">
        <v>207</v>
      </c>
      <c r="F14" s="195"/>
      <c r="G14" s="758"/>
      <c r="H14" s="199"/>
      <c r="I14" s="199"/>
      <c r="J14" s="199"/>
      <c r="K14" s="199"/>
      <c r="L14" s="199"/>
      <c r="M14" s="756">
        <f>[3]!SEIP1071P260F2100</f>
        <v>0</v>
      </c>
      <c r="N14" s="762">
        <f>SUM(H15:L15)</f>
        <v>0</v>
      </c>
      <c r="O14" s="197"/>
    </row>
    <row r="15" spans="1:28" ht="12" customHeight="1" x14ac:dyDescent="0.2">
      <c r="A15" s="86"/>
      <c r="C15" t="s">
        <v>208</v>
      </c>
      <c r="E15" s="191">
        <v>5</v>
      </c>
      <c r="F15" s="201"/>
      <c r="G15" s="760"/>
      <c r="H15" s="603">
        <f>SUMIFS('Accounting data'!$G$2:$G$37000,'Accounting data'!$H$2:$H$37000,"1071*",'Accounting data'!$I$2:$I$37000,"260*",'Accounting data'!$J$2:$J$37000,"21*",'Accounting data'!$K$2:$K$37000,"61*")</f>
        <v>0</v>
      </c>
      <c r="I15" s="603">
        <f>SUMIFS('Accounting data'!$G$2:$G$37000,'Accounting data'!$H$2:$H$37000,"1071*",'Accounting data'!$I$2:$I$37000,"260*",'Accounting data'!$J$2:$J$37000,"21*",'Accounting data'!$K$2:$K$37000,"62*")</f>
        <v>0</v>
      </c>
      <c r="J15" s="603">
        <f>SUMIFS('Accounting data'!$G$2:$G$37000,'Accounting data'!$H$2:$H$37000,"1071*",'Accounting data'!$I$2:$I$37000,"260*",'Accounting data'!$J$2:$J$37000,"21*",'Accounting data'!$K$2:$K$37000,"63*")</f>
        <v>0</v>
      </c>
      <c r="K15" s="603">
        <f>SUMIFS('Accounting data'!$G$2:$G$37000,'Accounting data'!$H$2:$H$37000,"1071*",'Accounting data'!$I$2:$I$37000,"260*",'Accounting data'!$J$2:$J$37000,"21*",'Accounting data'!$K$2:$K$37000,"66*")</f>
        <v>0</v>
      </c>
      <c r="L15" s="603">
        <f>SUMIFS('Accounting data'!$G$2:$G$37000,'Accounting data'!$H$2:$H$37000,"1071*",'Accounting data'!$I$2:$I$37000,"260*",'Accounting data'!$J$2:$J$37000,"21*",'Accounting data'!$K$2:$K$37000,"68*")</f>
        <v>0</v>
      </c>
      <c r="M15" s="757"/>
      <c r="N15" s="763"/>
      <c r="O15" s="202"/>
      <c r="P15" s="149">
        <v>5</v>
      </c>
    </row>
    <row r="16" spans="1:28" ht="12" customHeight="1" x14ac:dyDescent="0.2">
      <c r="A16" s="86"/>
      <c r="C16" t="s">
        <v>209</v>
      </c>
      <c r="E16" s="194">
        <v>6</v>
      </c>
      <c r="F16" s="203"/>
      <c r="G16" s="204"/>
      <c r="H16" s="603">
        <f>SUMIFS('Accounting data'!$G$2:$G$37000,'Accounting data'!$H$2:$H$37000,"1071*",'Accounting data'!$I$2:$I$37000,"260*",'Accounting data'!$J$2:$J$37000,"22*",'Accounting data'!$K$2:$K$37000,"61*")</f>
        <v>0</v>
      </c>
      <c r="I16" s="603">
        <f>SUMIFS('Accounting data'!$G$2:$G$37000,'Accounting data'!$H$2:$H$37000,"1071*",'Accounting data'!$I$2:$I$37000,"260*",'Accounting data'!$J$2:$J$37000,"22*",'Accounting data'!$K$2:$K$37000,"62*")</f>
        <v>0</v>
      </c>
      <c r="J16" s="603">
        <f>SUMIFS('Accounting data'!$G$2:$G$37000,'Accounting data'!$H$2:$H$37000,"1071*",'Accounting data'!$I$2:$I$37000,"260*",'Accounting data'!$J$2:$J$37000,"22*",'Accounting data'!$K$2:$K$37000,"63*")</f>
        <v>0</v>
      </c>
      <c r="K16" s="603">
        <f>SUMIFS('Accounting data'!$G$2:$G$37000,'Accounting data'!$H$2:$H$37000,"1071*",'Accounting data'!$I$2:$I$37000,"260*",'Accounting data'!$J$2:$J$37000,"22*",'Accounting data'!$K$2:$K$37000,"66*")</f>
        <v>0</v>
      </c>
      <c r="L16" s="603">
        <f>SUMIFS('Accounting data'!$G$2:$G$37000,'Accounting data'!$H$2:$H$37000,"1071*",'Accounting data'!$I$2:$I$37000,"260*",'Accounting data'!$J$2:$J$37000,"22*",'Accounting data'!$K$2:$K$37000,"68*")</f>
        <v>0</v>
      </c>
      <c r="M16" s="596">
        <f>[3]!SEIP1071P260F2200</f>
        <v>0</v>
      </c>
      <c r="N16" s="598">
        <f t="shared" ref="N16:N21" si="0">SUM(H16:L16)</f>
        <v>0</v>
      </c>
      <c r="O16" s="205"/>
      <c r="P16" s="149">
        <v>6</v>
      </c>
    </row>
    <row r="17" spans="1:16" ht="12" customHeight="1" x14ac:dyDescent="0.2">
      <c r="A17" s="86"/>
      <c r="C17" t="s">
        <v>210</v>
      </c>
      <c r="E17" s="191">
        <v>7</v>
      </c>
      <c r="F17" s="203"/>
      <c r="G17" s="204"/>
      <c r="H17" s="598">
        <f>SUMIFS('Accounting data'!$G$2:$G$37000,'Accounting data'!$H$2:$H$37000,"1071*",'Accounting data'!$I$2:$I$37000,"260*",'Accounting data'!$J$2:$J$37000,"23*",'Accounting data'!$K$2:$K$37000,"61*")</f>
        <v>0</v>
      </c>
      <c r="I17" s="598">
        <f>SUMIFS('Accounting data'!$G$2:$G$37000,'Accounting data'!$H$2:$H$37000,"1071*",'Accounting data'!$I$2:$I$37000,"260*",'Accounting data'!$J$2:$J$37000,"23*",'Accounting data'!$K$2:$K$37000,"62*")</f>
        <v>0</v>
      </c>
      <c r="J17" s="598">
        <f>SUMIFS('Accounting data'!$G$2:$G$37000,'Accounting data'!$H$2:$H$37000,"1071*",'Accounting data'!$I$2:$I$37000,"260*",'Accounting data'!$J$2:$J$37000,"23*",'Accounting data'!$K$2:$K$37000,"63*")</f>
        <v>0</v>
      </c>
      <c r="K17" s="598">
        <f>SUMIFS('Accounting data'!$G$2:$G$37000,'Accounting data'!$H$2:$H$37000,"1071*",'Accounting data'!$I$2:$I$37000,"260*",'Accounting data'!$J$2:$J$37000,"23*",'Accounting data'!$K$2:$K$37000,"66*")</f>
        <v>0</v>
      </c>
      <c r="L17" s="598">
        <f>SUMIFS('Accounting data'!$G$2:$G$37000,'Accounting data'!$H$2:$H$37000,"1071*",'Accounting data'!$I$2:$I$37000,"260*",'Accounting data'!$J$2:$J$37000,"23*",'Accounting data'!$K$2:$K$37000,"68*")</f>
        <v>0</v>
      </c>
      <c r="M17" s="596">
        <f>[3]!SEIP1071P260F2300</f>
        <v>0</v>
      </c>
      <c r="N17" s="598">
        <f t="shared" si="0"/>
        <v>0</v>
      </c>
      <c r="O17" s="205"/>
      <c r="P17" s="149">
        <v>7</v>
      </c>
    </row>
    <row r="18" spans="1:16" ht="12" customHeight="1" x14ac:dyDescent="0.2">
      <c r="A18" s="86"/>
      <c r="C18" t="s">
        <v>211</v>
      </c>
      <c r="E18" s="191">
        <v>8</v>
      </c>
      <c r="F18" s="203"/>
      <c r="G18" s="204"/>
      <c r="H18" s="598">
        <f>SUMIFS('Accounting data'!$G$2:$G$37000,'Accounting data'!$H$2:$H$37000,"1071*",'Accounting data'!$I$2:$I$37000,"260*",'Accounting data'!$J$2:$J$37000,"24*",'Accounting data'!$K$2:$K$37000,"61*")</f>
        <v>0</v>
      </c>
      <c r="I18" s="598">
        <f>SUMIFS('Accounting data'!$G$2:$G$37000,'Accounting data'!$H$2:$H$37000,"1071*",'Accounting data'!$I$2:$I$37000,"260*",'Accounting data'!$J$2:$J$37000,"24*",'Accounting data'!$K$2:$K$37000,"62*")</f>
        <v>0</v>
      </c>
      <c r="J18" s="598">
        <f>SUMIFS('Accounting data'!$G$2:$G$37000,'Accounting data'!$H$2:$H$37000,"1071*",'Accounting data'!$I$2:$I$37000,"260*",'Accounting data'!$J$2:$J$37000,"24*",'Accounting data'!$K$2:$K$37000,"63*")</f>
        <v>0</v>
      </c>
      <c r="K18" s="598">
        <f>SUMIFS('Accounting data'!$G$2:$G$37000,'Accounting data'!$H$2:$H$37000,"1071*",'Accounting data'!$I$2:$I$37000,"260*",'Accounting data'!$J$2:$J$37000,"24*",'Accounting data'!$K$2:$K$37000,"66*")</f>
        <v>0</v>
      </c>
      <c r="L18" s="598">
        <f>SUMIFS('Accounting data'!$G$2:$G$37000,'Accounting data'!$H$2:$H$37000,"1071*",'Accounting data'!$I$2:$I$37000,"260*",'Accounting data'!$J$2:$J$37000,"24*",'Accounting data'!$K$2:$K$37000,"68*")</f>
        <v>0</v>
      </c>
      <c r="M18" s="596">
        <f>[3]!SEIP1071P260F2400</f>
        <v>0</v>
      </c>
      <c r="N18" s="598">
        <f t="shared" si="0"/>
        <v>0</v>
      </c>
      <c r="O18" s="205"/>
      <c r="P18" s="149">
        <v>8</v>
      </c>
    </row>
    <row r="19" spans="1:16" ht="12" customHeight="1" x14ac:dyDescent="0.2">
      <c r="A19" s="86"/>
      <c r="C19" t="s">
        <v>212</v>
      </c>
      <c r="E19" s="191">
        <v>9</v>
      </c>
      <c r="F19" s="203"/>
      <c r="G19" s="204"/>
      <c r="H19" s="598">
        <f>SUMIFS('Accounting data'!$G$2:$G$37000,'Accounting data'!$H$2:$H$37000,"1071*",'Accounting data'!$I$2:$I$37000,"260*",'Accounting data'!$J$2:$J$37000,"25*",'Accounting data'!$K$2:$K$37000,"61*")</f>
        <v>0</v>
      </c>
      <c r="I19" s="598">
        <f>SUMIFS('Accounting data'!$G$2:$G$37000,'Accounting data'!$H$2:$H$37000,"1071*",'Accounting data'!$I$2:$I$37000,"260*",'Accounting data'!$J$2:$J$37000,"25*",'Accounting data'!$K$2:$K$37000,"62*")</f>
        <v>0</v>
      </c>
      <c r="J19" s="598">
        <f>SUMIFS('Accounting data'!$G$2:$G$37000,'Accounting data'!$H$2:$H$37000,"1071*",'Accounting data'!$I$2:$I$37000,"260*",'Accounting data'!$J$2:$J$37000,"25*",'Accounting data'!$K$2:$K$37000,"63*")</f>
        <v>0</v>
      </c>
      <c r="K19" s="598">
        <f>SUMIFS('Accounting data'!$G$2:$G$37000,'Accounting data'!$H$2:$H$37000,"1071*",'Accounting data'!$I$2:$I$37000,"260*",'Accounting data'!$J$2:$J$37000,"25*",'Accounting data'!$K$2:$K$37000,"66*")</f>
        <v>0</v>
      </c>
      <c r="L19" s="598">
        <f>SUMIFS('Accounting data'!$G$2:$G$37000,'Accounting data'!$H$2:$H$37000,"1071*",'Accounting data'!$I$2:$I$37000,"260*",'Accounting data'!$J$2:$J$37000,"25*",'Accounting data'!$K$2:$K$37000,"68*")</f>
        <v>0</v>
      </c>
      <c r="M19" s="596">
        <f>[3]!SEIP1071P260F2500</f>
        <v>0</v>
      </c>
      <c r="N19" s="598">
        <f t="shared" si="0"/>
        <v>0</v>
      </c>
      <c r="O19" s="205"/>
      <c r="P19" s="149">
        <v>9</v>
      </c>
    </row>
    <row r="20" spans="1:16" ht="12" customHeight="1" x14ac:dyDescent="0.2">
      <c r="A20" s="86"/>
      <c r="C20" t="s">
        <v>213</v>
      </c>
      <c r="E20" s="191">
        <v>10</v>
      </c>
      <c r="F20" s="203"/>
      <c r="G20" s="204"/>
      <c r="H20" s="598">
        <f>SUMIFS('Accounting data'!$G$2:$G$37000,'Accounting data'!$H$2:$H$37000,"1071*",'Accounting data'!$I$2:$I$37000,"260*",'Accounting data'!$J$2:$J$37000,"26*",'Accounting data'!$K$2:$K$37000,"61*")</f>
        <v>0</v>
      </c>
      <c r="I20" s="598">
        <f>SUMIFS('Accounting data'!$G$2:$G$37000,'Accounting data'!$H$2:$H$37000,"1071*",'Accounting data'!$I$2:$I$37000,"260*",'Accounting data'!$J$2:$J$37000,"26*",'Accounting data'!$K$2:$K$37000,"62*")</f>
        <v>0</v>
      </c>
      <c r="J20" s="598">
        <f>SUMIFS('Accounting data'!$G$2:$G$37000,'Accounting data'!$H$2:$H$37000,"1071*",'Accounting data'!$I$2:$I$37000,"260*",'Accounting data'!$J$2:$J$37000,"26*",'Accounting data'!$K$2:$K$37000,"63*")</f>
        <v>0</v>
      </c>
      <c r="K20" s="598">
        <f>SUMIFS('Accounting data'!$G$2:$G$37000,'Accounting data'!$H$2:$H$37000,"1071*",'Accounting data'!$I$2:$I$37000,"260*",'Accounting data'!$J$2:$J$37000,"26*",'Accounting data'!$K$2:$K$37000,"66*")</f>
        <v>0</v>
      </c>
      <c r="L20" s="598">
        <f>SUMIFS('Accounting data'!$G$2:$G$37000,'Accounting data'!$H$2:$H$37000,"1071*",'Accounting data'!$I$2:$I$37000,"260*",'Accounting data'!$J$2:$J$37000,"26*",'Accounting data'!$K$2:$K$37000,"68*")</f>
        <v>0</v>
      </c>
      <c r="M20" s="596">
        <f>[3]!SEIP1071P260F2600</f>
        <v>0</v>
      </c>
      <c r="N20" s="598">
        <f t="shared" si="0"/>
        <v>0</v>
      </c>
      <c r="O20" s="205"/>
      <c r="P20" s="149">
        <v>10</v>
      </c>
    </row>
    <row r="21" spans="1:16" ht="12" customHeight="1" x14ac:dyDescent="0.2">
      <c r="A21" s="86"/>
      <c r="C21" t="s">
        <v>214</v>
      </c>
      <c r="E21" s="191">
        <v>11</v>
      </c>
      <c r="F21" s="203"/>
      <c r="G21" s="204"/>
      <c r="H21" s="598">
        <f>SUMIFS('Accounting data'!$G$2:$G$37000,'Accounting data'!$H$2:$H$37000,"1071*",'Accounting data'!$I$2:$I$37000,"260*",'Accounting data'!$J$2:$J$37000,"29*",'Accounting data'!$K$2:$K$37000,"61*")</f>
        <v>0</v>
      </c>
      <c r="I21" s="598">
        <f>SUMIFS('Accounting data'!$G$2:$G$37000,'Accounting data'!$H$2:$H$37000,"1071*",'Accounting data'!$I$2:$I$37000,"260*",'Accounting data'!$J$2:$J$37000,"29*",'Accounting data'!$K$2:$K$37000,"62*")</f>
        <v>0</v>
      </c>
      <c r="J21" s="598">
        <f>SUMIFS('Accounting data'!$G$2:$G$37000,'Accounting data'!$H$2:$H$37000,"1071*",'Accounting data'!$I$2:$I$37000,"260*",'Accounting data'!$J$2:$J$37000,"29*",'Accounting data'!$K$2:$K$37000,"63*")</f>
        <v>0</v>
      </c>
      <c r="K21" s="598">
        <f>SUMIFS('Accounting data'!$G$2:$G$37000,'Accounting data'!$H$2:$H$37000,"1071*",'Accounting data'!$I$2:$I$37000,"260*",'Accounting data'!$J$2:$J$37000,"29*",'Accounting data'!$K$2:$K$37000,"66*")</f>
        <v>0</v>
      </c>
      <c r="L21" s="598">
        <f>SUMIFS('Accounting data'!$G$2:$G$37000,'Accounting data'!$H$2:$H$37000,"1071*",'Accounting data'!$I$2:$I$37000,"260*",'Accounting data'!$J$2:$J$37000,"29*",'Accounting data'!$K$2:$K$37000,"68*")</f>
        <v>0</v>
      </c>
      <c r="M21" s="596">
        <f>[3]!SEIP1071P260F2900</f>
        <v>0</v>
      </c>
      <c r="N21" s="598">
        <f t="shared" si="0"/>
        <v>0</v>
      </c>
      <c r="O21" s="205"/>
      <c r="P21" s="149">
        <v>11</v>
      </c>
    </row>
    <row r="22" spans="1:16" ht="12" customHeight="1" x14ac:dyDescent="0.2">
      <c r="A22" s="90"/>
      <c r="B22" s="2" t="s">
        <v>215</v>
      </c>
      <c r="C22" s="2"/>
      <c r="D22" s="2"/>
      <c r="E22" s="187">
        <v>12</v>
      </c>
      <c r="F22" s="203"/>
      <c r="G22" s="206"/>
      <c r="H22" s="598">
        <f>SUM(H13:H21)</f>
        <v>0</v>
      </c>
      <c r="I22" s="598">
        <f t="shared" ref="I22:N22" si="1">SUM(I13:I21)</f>
        <v>0</v>
      </c>
      <c r="J22" s="598">
        <f>SUM(J13:J21)</f>
        <v>0</v>
      </c>
      <c r="K22" s="598">
        <f t="shared" si="1"/>
        <v>0</v>
      </c>
      <c r="L22" s="598">
        <f t="shared" si="1"/>
        <v>0</v>
      </c>
      <c r="M22" s="598">
        <f t="shared" si="1"/>
        <v>0</v>
      </c>
      <c r="N22" s="598">
        <f t="shared" si="1"/>
        <v>0</v>
      </c>
      <c r="O22" s="205"/>
      <c r="P22" s="207">
        <v>12</v>
      </c>
    </row>
    <row r="23" spans="1:16" ht="12" customHeight="1" x14ac:dyDescent="0.2">
      <c r="A23" s="86" t="s">
        <v>216</v>
      </c>
      <c r="E23" s="191"/>
      <c r="F23" s="195"/>
      <c r="G23" s="758"/>
      <c r="H23" s="80"/>
      <c r="I23" s="80"/>
      <c r="J23" s="80"/>
      <c r="K23" s="80"/>
      <c r="L23" s="80"/>
      <c r="M23" s="80"/>
      <c r="N23" s="80"/>
      <c r="O23" s="197"/>
      <c r="P23" s="149"/>
    </row>
    <row r="24" spans="1:16" ht="12" customHeight="1" x14ac:dyDescent="0.2">
      <c r="A24" s="86"/>
      <c r="B24" t="s">
        <v>207</v>
      </c>
      <c r="E24" s="191"/>
      <c r="F24" s="198"/>
      <c r="G24" s="759"/>
      <c r="H24" s="598"/>
      <c r="I24" s="662"/>
      <c r="J24" s="662"/>
      <c r="K24" s="662"/>
      <c r="L24" s="662"/>
      <c r="M24" s="662"/>
      <c r="N24" s="199"/>
      <c r="O24" s="200"/>
      <c r="P24" s="149"/>
    </row>
    <row r="25" spans="1:16" ht="12" customHeight="1" x14ac:dyDescent="0.2">
      <c r="A25" s="86"/>
      <c r="C25" t="s">
        <v>217</v>
      </c>
      <c r="E25" s="191">
        <v>13</v>
      </c>
      <c r="F25" s="201"/>
      <c r="G25" s="760"/>
      <c r="H25" s="662">
        <f>SUMIFS('Accounting data'!$G$2:$G$37000,'Accounting data'!$H$2:$H$37000,"1071*",'Accounting data'!$I$2:$I$37000,"43*",'Accounting data'!$J$2:$J$37000,"27*",'Accounting data'!$K$2:$K$37000,"61*")</f>
        <v>0</v>
      </c>
      <c r="I25" s="662">
        <f>SUMIFS('Accounting data'!$G$2:$G$37000,'Accounting data'!$H$2:$H$37000,"1071*",'Accounting data'!$I$2:$I$37000,"43*",'Accounting data'!$J$2:$J$37000,"27*",'Accounting data'!$K$2:$K$37000,"62*")</f>
        <v>0</v>
      </c>
      <c r="J25" s="662">
        <f>SUMIFS('Accounting data'!$G$2:$G$37000,'Accounting data'!$H$2:$H$37000,"1071*",'Accounting data'!$I$2:$I$37000,"43*",'Accounting data'!$J$2:$J$37000,"27*",'Accounting data'!$K$2:$K$37000,"63*")</f>
        <v>0</v>
      </c>
      <c r="K25" s="662">
        <f>SUMIFS('Accounting data'!$G$2:$G$37000,'Accounting data'!$H$2:$H$37000,"1071*",'Accounting data'!$I$2:$I$37000,"43*",'Accounting data'!$J$2:$J$37000,"27*",'Accounting data'!$K$2:$K$37000,"66*")</f>
        <v>0</v>
      </c>
      <c r="L25" s="662">
        <f>SUMIFS('Accounting data'!$G$2:$G$37000,'Accounting data'!$H$2:$H$37000,"1071*",'Accounting data'!$I$2:$I$37000,"43*",'Accounting data'!$J$2:$J$37000,"27*",'Accounting data'!$K$2:$K$37000,"68*")</f>
        <v>0</v>
      </c>
      <c r="M25" s="662">
        <f>[3]!SEIP1071P430F2700</f>
        <v>0</v>
      </c>
      <c r="N25" s="603">
        <f>SUM(H25:L25)</f>
        <v>0</v>
      </c>
      <c r="O25" s="202"/>
      <c r="P25" s="207">
        <v>13</v>
      </c>
    </row>
    <row r="26" spans="1:16" ht="12" customHeight="1" x14ac:dyDescent="0.2">
      <c r="A26" s="96" t="s">
        <v>218</v>
      </c>
      <c r="B26" s="97"/>
      <c r="C26" s="97"/>
      <c r="D26" s="97"/>
      <c r="E26" s="208">
        <v>14</v>
      </c>
      <c r="F26" s="596">
        <f>[4]!SEIP1071EndBal</f>
        <v>0</v>
      </c>
      <c r="G26" s="598">
        <f>G10</f>
        <v>0</v>
      </c>
      <c r="H26" s="598">
        <f>SUM(H22:H24)</f>
        <v>0</v>
      </c>
      <c r="I26" s="598">
        <f>SUM(I22:I24)</f>
        <v>0</v>
      </c>
      <c r="J26" s="598">
        <f>SUM(J22:J24)</f>
        <v>0</v>
      </c>
      <c r="K26" s="598">
        <f>SUM(K22:K24)</f>
        <v>0</v>
      </c>
      <c r="L26" s="598">
        <f>SUM(L22:L24)</f>
        <v>0</v>
      </c>
      <c r="M26" s="598">
        <f>SUM(M22:M25)</f>
        <v>0</v>
      </c>
      <c r="N26" s="598">
        <f>SUM(N22:N25)</f>
        <v>0</v>
      </c>
      <c r="O26" s="598">
        <f>F26+G26-N26</f>
        <v>0</v>
      </c>
      <c r="P26" s="207">
        <v>14</v>
      </c>
    </row>
    <row r="27" spans="1:16" ht="9" customHeight="1" x14ac:dyDescent="0.2">
      <c r="A27" s="749"/>
      <c r="B27" s="749"/>
      <c r="C27" s="749"/>
      <c r="D27" s="749"/>
      <c r="E27" s="749"/>
      <c r="F27" s="749"/>
      <c r="G27" s="749"/>
      <c r="H27" s="749"/>
      <c r="I27" s="749"/>
      <c r="J27" s="750"/>
      <c r="K27" s="750"/>
      <c r="L27" s="750"/>
    </row>
    <row r="28" spans="1:16" ht="11.25" customHeight="1" x14ac:dyDescent="0.2">
      <c r="A28" s="84" t="s">
        <v>219</v>
      </c>
      <c r="B28" s="69"/>
      <c r="C28" s="69"/>
      <c r="D28" s="69"/>
      <c r="E28" s="209"/>
      <c r="F28" s="753"/>
      <c r="G28" s="753"/>
      <c r="H28" s="753"/>
      <c r="I28" s="753"/>
      <c r="J28" s="753"/>
      <c r="K28" s="753"/>
      <c r="L28" s="761"/>
      <c r="M28" s="761"/>
      <c r="N28" s="761"/>
      <c r="O28" s="753"/>
    </row>
    <row r="29" spans="1:16" ht="11.25" customHeight="1" x14ac:dyDescent="0.2">
      <c r="A29" s="114" t="s">
        <v>168</v>
      </c>
      <c r="E29" s="191"/>
      <c r="F29" s="754"/>
      <c r="G29" s="764"/>
      <c r="H29" s="764"/>
      <c r="I29" s="764"/>
      <c r="J29" s="764"/>
      <c r="K29" s="764"/>
      <c r="L29" s="761"/>
      <c r="M29" s="761"/>
      <c r="N29" s="761"/>
      <c r="O29" s="754"/>
    </row>
    <row r="30" spans="1:16" ht="12" customHeight="1" x14ac:dyDescent="0.2">
      <c r="A30" s="114"/>
      <c r="B30" t="s">
        <v>202</v>
      </c>
      <c r="E30" s="191">
        <v>15</v>
      </c>
      <c r="F30" s="192"/>
      <c r="G30" s="598">
        <f>-(SUMIFS('Accounting data'!$G$2:$G$37000,'Accounting data'!$H$2:$H$37000,"1072*",'Accounting data'!$K$2:$K$37000,"32*"))</f>
        <v>0</v>
      </c>
      <c r="H30" s="192"/>
      <c r="I30" s="192"/>
      <c r="J30" s="192"/>
      <c r="K30" s="192"/>
      <c r="L30" s="210"/>
      <c r="M30" s="192"/>
      <c r="N30" s="192"/>
      <c r="O30" s="192"/>
      <c r="P30" s="207">
        <v>15</v>
      </c>
    </row>
    <row r="31" spans="1:16" ht="12" customHeight="1" x14ac:dyDescent="0.2">
      <c r="A31" s="114"/>
      <c r="B31" t="s">
        <v>203</v>
      </c>
      <c r="E31" s="191">
        <v>16</v>
      </c>
      <c r="F31" s="192"/>
      <c r="G31" s="598">
        <f>-(SUMIFS('Accounting data'!$G$2:$G$37000,'Accounting data'!$H$2:$H$37000,"1072*",'Accounting data'!$K$2:$K$37000,"15*"))</f>
        <v>0</v>
      </c>
      <c r="H31" s="192"/>
      <c r="I31" s="192"/>
      <c r="J31" s="192"/>
      <c r="K31" s="192"/>
      <c r="L31" s="192"/>
      <c r="M31" s="192"/>
      <c r="N31" s="192"/>
      <c r="O31" s="192"/>
      <c r="P31" s="207">
        <v>16</v>
      </c>
    </row>
    <row r="32" spans="1:16" ht="12" customHeight="1" x14ac:dyDescent="0.2">
      <c r="A32" s="86" t="s">
        <v>220</v>
      </c>
      <c r="E32" s="191">
        <v>17</v>
      </c>
      <c r="F32" s="193"/>
      <c r="G32" s="598">
        <f>SUM(G30:G31)</f>
        <v>0</v>
      </c>
      <c r="H32" s="193"/>
      <c r="I32" s="193"/>
      <c r="J32" s="193"/>
      <c r="K32" s="193"/>
      <c r="L32" s="193"/>
      <c r="M32" s="193"/>
      <c r="N32" s="193"/>
      <c r="O32" s="193"/>
      <c r="P32" s="207">
        <v>17</v>
      </c>
    </row>
    <row r="33" spans="1:16" ht="11.25" customHeight="1" x14ac:dyDescent="0.2">
      <c r="A33" s="114" t="s">
        <v>92</v>
      </c>
      <c r="E33" s="194"/>
      <c r="F33" s="195"/>
      <c r="G33" s="211"/>
      <c r="H33" s="146"/>
      <c r="I33" s="146"/>
      <c r="J33" s="146"/>
      <c r="K33" s="146"/>
      <c r="L33" s="146"/>
      <c r="M33" s="146"/>
      <c r="N33" s="146"/>
      <c r="O33" s="195"/>
    </row>
    <row r="34" spans="1:16" ht="12" customHeight="1" x14ac:dyDescent="0.2">
      <c r="A34" s="86" t="s">
        <v>221</v>
      </c>
      <c r="E34" s="194"/>
      <c r="F34" s="198"/>
      <c r="G34" s="212"/>
      <c r="H34" s="199"/>
      <c r="I34" s="199"/>
      <c r="J34" s="199"/>
      <c r="K34" s="199"/>
      <c r="L34" s="199"/>
      <c r="M34" s="199"/>
      <c r="N34" s="199"/>
      <c r="O34" s="198"/>
    </row>
    <row r="35" spans="1:16" ht="12" customHeight="1" x14ac:dyDescent="0.2">
      <c r="A35" s="86"/>
      <c r="B35" t="s">
        <v>206</v>
      </c>
      <c r="E35" s="194">
        <v>18</v>
      </c>
      <c r="F35" s="201"/>
      <c r="G35" s="213"/>
      <c r="H35" s="603">
        <f>SUMIFS('Accounting data'!$G$2:$G$37000,'Accounting data'!$H$2:$H$37000,"1072*",'Accounting data'!$I$2:$I$37000,"265*",'Accounting data'!$J$2:$J$37000,"1*",'Accounting data'!$K$2:$K$37000,"61*")</f>
        <v>0</v>
      </c>
      <c r="I35" s="603">
        <f>SUMIFS('Accounting data'!$G$2:$G$37000,'Accounting data'!$H$2:$H$37000,"1072*",'Accounting data'!$I$2:$I$37000,"265*",'Accounting data'!$J$2:$J$37000,"1*",'Accounting data'!$K$2:$K$37000,"62*")</f>
        <v>0</v>
      </c>
      <c r="J35" s="603">
        <f>SUMIFS('Accounting data'!$G$2:$G$37000,'Accounting data'!$H$2:$H$37000,"1072*",'Accounting data'!$I$2:$I$37000,"265*",'Accounting data'!$J$2:$J$37000,"1*",'Accounting data'!$K$2:$K$37000,"63*")</f>
        <v>0</v>
      </c>
      <c r="K35" s="603">
        <f>SUMIFS('Accounting data'!$G$2:$G$37000,'Accounting data'!$H$2:$H$37000,"1072*",'Accounting data'!$I$2:$I$37000,"265*",'Accounting data'!$J$2:$J$37000,"1*",'Accounting data'!$K$2:$K$37000,"66*")</f>
        <v>0</v>
      </c>
      <c r="L35" s="603">
        <f>SUMIFS('Accounting data'!$G$2:$G$37000,'Accounting data'!$H$2:$H$37000,"1072*",'Accounting data'!$I$2:$I$37000,"265*",'Accounting data'!$J$2:$J$37000,"1*",'Accounting data'!$K$2:$K$37000,"68*")</f>
        <v>0</v>
      </c>
      <c r="M35" s="603">
        <f>[3]!CIP1072P265F1000</f>
        <v>0</v>
      </c>
      <c r="N35" s="603">
        <f>SUM(H35:L35)</f>
        <v>0</v>
      </c>
      <c r="O35" s="201"/>
      <c r="P35" s="207">
        <v>18</v>
      </c>
    </row>
    <row r="36" spans="1:16" ht="12" customHeight="1" x14ac:dyDescent="0.2">
      <c r="A36" s="86"/>
      <c r="B36" t="s">
        <v>207</v>
      </c>
      <c r="E36" s="191"/>
      <c r="F36" s="195"/>
      <c r="G36" s="759"/>
      <c r="H36" s="196"/>
      <c r="I36" s="196"/>
      <c r="J36" s="196"/>
      <c r="K36" s="196"/>
      <c r="L36" s="196"/>
      <c r="M36" s="196"/>
      <c r="N36" s="196"/>
      <c r="O36" s="195"/>
      <c r="P36" s="207"/>
    </row>
    <row r="37" spans="1:16" ht="12" customHeight="1" x14ac:dyDescent="0.2">
      <c r="A37" s="86"/>
      <c r="C37" t="s">
        <v>208</v>
      </c>
      <c r="E37" s="191">
        <v>19</v>
      </c>
      <c r="F37" s="201"/>
      <c r="G37" s="759"/>
      <c r="H37" s="603">
        <f>SUMIFS('Accounting data'!$G$2:$G$37000,'Accounting data'!$H$2:$H$37000,"1072*",'Accounting data'!$I$2:$I$37000,"265*",'Accounting data'!$J$2:$J$37000,"21*",'Accounting data'!$K$2:$K$37000,"61*")</f>
        <v>0</v>
      </c>
      <c r="I37" s="603">
        <f>SUMIFS('Accounting data'!$G$2:$G$37000,'Accounting data'!$H$2:$H$37000,"1072*",'Accounting data'!$I$2:$I$37000,"265*",'Accounting data'!$J$2:$J$37000,"21*",'Accounting data'!$K$2:$K$37000,"62*")</f>
        <v>0</v>
      </c>
      <c r="J37" s="603">
        <f>SUMIFS('Accounting data'!$G$2:$G$37000,'Accounting data'!$H$2:$H$37000,"1072*",'Accounting data'!$I$2:$I$37000,"265*",'Accounting data'!$J$2:$J$37000,"21*",'Accounting data'!$K$2:$K$37000,"63*")</f>
        <v>0</v>
      </c>
      <c r="K37" s="603">
        <f>SUMIFS('Accounting data'!$G$2:$G$37000,'Accounting data'!$H$2:$H$37000,"1072*",'Accounting data'!$I$2:$I$37000,"265*",'Accounting data'!$J$2:$J$37000,"21*",'Accounting data'!$K$2:$K$37000,"66*")</f>
        <v>0</v>
      </c>
      <c r="L37" s="603">
        <f>SUMIFS('Accounting data'!$G$2:$G$37000,'Accounting data'!$H$2:$H$37000,"1072*",'Accounting data'!$I$2:$I$37000,"265*",'Accounting data'!$J$2:$J$37000,"21*",'Accounting data'!$K$2:$K$37000,"68*")</f>
        <v>0</v>
      </c>
      <c r="M37" s="603">
        <f>[3]!CIP1072P265F2100</f>
        <v>0</v>
      </c>
      <c r="N37" s="603">
        <f>SUM(H37:L37)</f>
        <v>0</v>
      </c>
      <c r="O37" s="201"/>
      <c r="P37" s="207">
        <v>19</v>
      </c>
    </row>
    <row r="38" spans="1:16" ht="12" customHeight="1" x14ac:dyDescent="0.2">
      <c r="A38" s="86"/>
      <c r="C38" t="s">
        <v>209</v>
      </c>
      <c r="E38" s="191">
        <v>20</v>
      </c>
      <c r="F38" s="203"/>
      <c r="G38" s="204"/>
      <c r="H38" s="598">
        <f>SUMIFS('Accounting data'!$G$2:$G$37000,'Accounting data'!$H$2:$H$37000,"1072*",'Accounting data'!$I$2:$I$37000,"265*",'Accounting data'!$J$2:$J$37000,"22*",'Accounting data'!$K$2:$K$37000,"61*")</f>
        <v>0</v>
      </c>
      <c r="I38" s="598">
        <f>SUMIFS('Accounting data'!$G$2:$G$37000,'Accounting data'!$H$2:$H$37000,"1072*",'Accounting data'!$I$2:$I$37000,"265*",'Accounting data'!$J$2:$J$37000,"22*",'Accounting data'!$K$2:$K$37000,"62*")</f>
        <v>0</v>
      </c>
      <c r="J38" s="598">
        <f>SUMIFS('Accounting data'!$G$2:$G$37000,'Accounting data'!$H$2:$H$37000,"1072*",'Accounting data'!$I$2:$I$37000,"265*",'Accounting data'!$J$2:$J$37000,"22*",'Accounting data'!$K$2:$K$37000,"63*")</f>
        <v>0</v>
      </c>
      <c r="K38" s="598">
        <f>SUMIFS('Accounting data'!$G$2:$G$37000,'Accounting data'!$H$2:$H$37000,"1072*",'Accounting data'!$I$2:$I$37000,"265*",'Accounting data'!$J$2:$J$37000,"22*",'Accounting data'!$K$2:$K$37000,"66*")</f>
        <v>0</v>
      </c>
      <c r="L38" s="598">
        <f>SUMIFS('Accounting data'!$G$2:$G$37000,'Accounting data'!$H$2:$H$37000,"1072*",'Accounting data'!$I$2:$I$37000,"265*",'Accounting data'!$J$2:$J$37000,"22*",'Accounting data'!$K$2:$K$37000,"68*")</f>
        <v>0</v>
      </c>
      <c r="M38" s="596">
        <f>[3]!CIP1072P265F2200</f>
        <v>0</v>
      </c>
      <c r="N38" s="598">
        <f t="shared" ref="N38:N43" si="2">SUM(H38:L38)</f>
        <v>0</v>
      </c>
      <c r="O38" s="203"/>
      <c r="P38" s="207">
        <v>20</v>
      </c>
    </row>
    <row r="39" spans="1:16" ht="12" customHeight="1" x14ac:dyDescent="0.2">
      <c r="A39" s="86"/>
      <c r="C39" t="s">
        <v>210</v>
      </c>
      <c r="E39" s="191">
        <v>21</v>
      </c>
      <c r="F39" s="203"/>
      <c r="G39" s="204"/>
      <c r="H39" s="598">
        <f>SUMIFS('Accounting data'!$G$2:$G$37000,'Accounting data'!$H$2:$H$37000,"1072*",'Accounting data'!$I$2:$I$37000,"265*",'Accounting data'!$J$2:$J$37000,"23*",'Accounting data'!$K$2:$K$37000,"61*")</f>
        <v>0</v>
      </c>
      <c r="I39" s="598">
        <f>SUMIFS('Accounting data'!$G$2:$G$37000,'Accounting data'!$H$2:$H$37000,"1072*",'Accounting data'!$I$2:$I$37000,"265*",'Accounting data'!$J$2:$J$37000,"23*",'Accounting data'!$K$2:$K$37000,"62*")</f>
        <v>0</v>
      </c>
      <c r="J39" s="598">
        <f>SUMIFS('Accounting data'!$G$2:$G$37000,'Accounting data'!$H$2:$H$37000,"1072*",'Accounting data'!$I$2:$I$37000,"265*",'Accounting data'!$J$2:$J$37000,"23*",'Accounting data'!$K$2:$K$37000,"63*")</f>
        <v>0</v>
      </c>
      <c r="K39" s="598">
        <f>SUMIFS('Accounting data'!$G$2:$G$37000,'Accounting data'!$H$2:$H$37000,"1072*",'Accounting data'!$I$2:$I$37000,"265*",'Accounting data'!$J$2:$J$37000,"23*",'Accounting data'!$K$2:$K$37000,"66*")</f>
        <v>0</v>
      </c>
      <c r="L39" s="598">
        <f>SUMIFS('Accounting data'!$G$2:$G$37000,'Accounting data'!$H$2:$H$37000,"1072*",'Accounting data'!$I$2:$I$37000,"265*",'Accounting data'!$J$2:$J$37000,"23*",'Accounting data'!$K$2:$K$37000,"68*")</f>
        <v>0</v>
      </c>
      <c r="M39" s="596">
        <f>[3]!CIP1072P265F2300</f>
        <v>0</v>
      </c>
      <c r="N39" s="598">
        <f t="shared" si="2"/>
        <v>0</v>
      </c>
      <c r="O39" s="203"/>
      <c r="P39" s="207">
        <v>21</v>
      </c>
    </row>
    <row r="40" spans="1:16" ht="12" customHeight="1" x14ac:dyDescent="0.2">
      <c r="A40" s="86"/>
      <c r="C40" t="s">
        <v>211</v>
      </c>
      <c r="E40" s="191">
        <v>22</v>
      </c>
      <c r="F40" s="203"/>
      <c r="G40" s="204"/>
      <c r="H40" s="598">
        <f>SUMIFS('Accounting data'!$G$2:$G$37000,'Accounting data'!$H$2:$H$37000,"1072*",'Accounting data'!$I$2:$I$37000,"265*",'Accounting data'!$J$2:$J$37000,"24*",'Accounting data'!$K$2:$K$37000,"61*")</f>
        <v>0</v>
      </c>
      <c r="I40" s="598">
        <f>SUMIFS('Accounting data'!$G$2:$G$37000,'Accounting data'!$H$2:$H$37000,"1072*",'Accounting data'!$I$2:$I$37000,"265*",'Accounting data'!$J$2:$J$37000,"24*",'Accounting data'!$K$2:$K$37000,"62*")</f>
        <v>0</v>
      </c>
      <c r="J40" s="598">
        <f>SUMIFS('Accounting data'!$G$2:$G$37000,'Accounting data'!$H$2:$H$37000,"1072*",'Accounting data'!$I$2:$I$37000,"265*",'Accounting data'!$J$2:$J$37000,"24*",'Accounting data'!$K$2:$K$37000,"63*")</f>
        <v>0</v>
      </c>
      <c r="K40" s="598">
        <f>SUMIFS('Accounting data'!$G$2:$G$37000,'Accounting data'!$H$2:$H$37000,"1072*",'Accounting data'!$I$2:$I$37000,"265*",'Accounting data'!$J$2:$J$37000,"24*",'Accounting data'!$K$2:$K$37000,"66*")</f>
        <v>0</v>
      </c>
      <c r="L40" s="598">
        <f>SUMIFS('Accounting data'!$G$2:$G$37000,'Accounting data'!$H$2:$H$37000,"1072*",'Accounting data'!$I$2:$I$37000,"265*",'Accounting data'!$J$2:$J$37000,"24*",'Accounting data'!$K$2:$K$37000,"68*")</f>
        <v>0</v>
      </c>
      <c r="M40" s="596">
        <f>[3]!CIP1072P265F2400</f>
        <v>0</v>
      </c>
      <c r="N40" s="598">
        <f t="shared" si="2"/>
        <v>0</v>
      </c>
      <c r="O40" s="203"/>
      <c r="P40" s="207">
        <v>22</v>
      </c>
    </row>
    <row r="41" spans="1:16" ht="12" customHeight="1" x14ac:dyDescent="0.2">
      <c r="A41" s="86"/>
      <c r="C41" t="s">
        <v>212</v>
      </c>
      <c r="E41" s="191">
        <v>23</v>
      </c>
      <c r="F41" s="203"/>
      <c r="G41" s="204"/>
      <c r="H41" s="598">
        <f>SUMIFS('Accounting data'!$G$2:$G$37000,'Accounting data'!$H$2:$H$37000,"1072*",'Accounting data'!$I$2:$I$37000,"265*",'Accounting data'!$J$2:$J$37000,"25*",'Accounting data'!$K$2:$K$37000,"61*")</f>
        <v>0</v>
      </c>
      <c r="I41" s="598">
        <f>SUMIFS('Accounting data'!$G$2:$G$37000,'Accounting data'!$H$2:$H$37000,"1072*",'Accounting data'!$I$2:$I$37000,"265*",'Accounting data'!$J$2:$J$37000,"25*",'Accounting data'!$K$2:$K$37000,"62*")</f>
        <v>0</v>
      </c>
      <c r="J41" s="598">
        <f>SUMIFS('Accounting data'!$G$2:$G$37000,'Accounting data'!$H$2:$H$37000,"1072*",'Accounting data'!$I$2:$I$37000,"265*",'Accounting data'!$J$2:$J$37000,"25*",'Accounting data'!$K$2:$K$37000,"63*")</f>
        <v>0</v>
      </c>
      <c r="K41" s="598">
        <f>SUMIFS('Accounting data'!$G$2:$G$37000,'Accounting data'!$H$2:$H$37000,"1072*",'Accounting data'!$I$2:$I$37000,"265*",'Accounting data'!$J$2:$J$37000,"25*",'Accounting data'!$K$2:$K$37000,"66*")</f>
        <v>0</v>
      </c>
      <c r="L41" s="598">
        <f>SUMIFS('Accounting data'!$G$2:$G$37000,'Accounting data'!$H$2:$H$37000,"1072*",'Accounting data'!$I$2:$I$37000,"265*",'Accounting data'!$J$2:$J$37000,"25*",'Accounting data'!$K$2:$K$37000,"68*")</f>
        <v>0</v>
      </c>
      <c r="M41" s="596">
        <f>[3]!CIP1072P265F2500</f>
        <v>0</v>
      </c>
      <c r="N41" s="598">
        <f t="shared" si="2"/>
        <v>0</v>
      </c>
      <c r="O41" s="203"/>
      <c r="P41" s="207">
        <v>23</v>
      </c>
    </row>
    <row r="42" spans="1:16" ht="12" customHeight="1" x14ac:dyDescent="0.2">
      <c r="A42" s="86"/>
      <c r="C42" t="s">
        <v>213</v>
      </c>
      <c r="E42" s="191">
        <v>24</v>
      </c>
      <c r="F42" s="203"/>
      <c r="G42" s="204"/>
      <c r="H42" s="598">
        <f>SUMIFS('Accounting data'!$G$2:$G$37000,'Accounting data'!$H$2:$H$37000,"1072*",'Accounting data'!$I$2:$I$37000,"265*",'Accounting data'!$J$2:$J$37000,"26*",'Accounting data'!$K$2:$K$37000,"61*")</f>
        <v>0</v>
      </c>
      <c r="I42" s="598">
        <f>SUMIFS('Accounting data'!$G$2:$G$37000,'Accounting data'!$H$2:$H$37000,"1072*",'Accounting data'!$I$2:$I$37000,"265*",'Accounting data'!$J$2:$J$37000,"26*",'Accounting data'!$K$2:$K$37000,"62*")</f>
        <v>0</v>
      </c>
      <c r="J42" s="598">
        <f>SUMIFS('Accounting data'!$G$2:$G$37000,'Accounting data'!$H$2:$H$37000,"1072*",'Accounting data'!$I$2:$I$37000,"265*",'Accounting data'!$J$2:$J$37000,"26*",'Accounting data'!$K$2:$K$37000,"63*")</f>
        <v>0</v>
      </c>
      <c r="K42" s="598">
        <f>SUMIFS('Accounting data'!$G$2:$G$37000,'Accounting data'!$H$2:$H$37000,"1072*",'Accounting data'!$I$2:$I$37000,"265*",'Accounting data'!$J$2:$J$37000,"26*",'Accounting data'!$K$2:$K$37000,"66*")</f>
        <v>0</v>
      </c>
      <c r="L42" s="598">
        <f>SUMIFS('Accounting data'!$G$2:$G$37000,'Accounting data'!$H$2:$H$37000,"1072*",'Accounting data'!$I$2:$I$37000,"265*",'Accounting data'!$J$2:$J$37000,"26*",'Accounting data'!$K$2:$K$37000,"68*")</f>
        <v>0</v>
      </c>
      <c r="M42" s="596">
        <f>[3]!CIP1072P265F2600</f>
        <v>0</v>
      </c>
      <c r="N42" s="598">
        <f t="shared" si="2"/>
        <v>0</v>
      </c>
      <c r="O42" s="203"/>
      <c r="P42" s="207">
        <v>24</v>
      </c>
    </row>
    <row r="43" spans="1:16" ht="12" customHeight="1" x14ac:dyDescent="0.2">
      <c r="A43" s="86"/>
      <c r="C43" t="s">
        <v>214</v>
      </c>
      <c r="E43" s="191">
        <v>25</v>
      </c>
      <c r="F43" s="203"/>
      <c r="G43" s="204"/>
      <c r="H43" s="598">
        <f>SUMIFS('Accounting data'!$G$2:$G$37000,'Accounting data'!$H$2:$H$37000,"1072*",'Accounting data'!$I$2:$I$37000,"265*",'Accounting data'!$J$2:$J$37000,"29*",'Accounting data'!$K$2:$K$37000,"61*")</f>
        <v>0</v>
      </c>
      <c r="I43" s="598">
        <f>SUMIFS('Accounting data'!$G$2:$G$37000,'Accounting data'!$H$2:$H$37000,"1072*",'Accounting data'!$I$2:$I$37000,"265*",'Accounting data'!$J$2:$J$37000,"29*",'Accounting data'!$K$2:$K$37000,"62*")</f>
        <v>0</v>
      </c>
      <c r="J43" s="598">
        <f>SUMIFS('Accounting data'!$G$2:$G$37000,'Accounting data'!$H$2:$H$37000,"1072*",'Accounting data'!$I$2:$I$37000,"265*",'Accounting data'!$J$2:$J$37000,"29*",'Accounting data'!$K$2:$K$37000,"63*")</f>
        <v>0</v>
      </c>
      <c r="K43" s="598">
        <f>SUMIFS('Accounting data'!$G$2:$G$37000,'Accounting data'!$H$2:$H$37000,"1072*",'Accounting data'!$I$2:$I$37000,"265*",'Accounting data'!$J$2:$J$37000,"29*",'Accounting data'!$K$2:$K$37000,"66*")</f>
        <v>0</v>
      </c>
      <c r="L43" s="598">
        <f>SUMIFS('Accounting data'!$G$2:$G$37000,'Accounting data'!$H$2:$H$37000,"1072*",'Accounting data'!$I$2:$I$37000,"265*",'Accounting data'!$J$2:$J$37000,"29*",'Accounting data'!$K$2:$K$37000,"68*")</f>
        <v>0</v>
      </c>
      <c r="M43" s="596">
        <f>[3]!CIP1072P265F2900</f>
        <v>0</v>
      </c>
      <c r="N43" s="598">
        <f t="shared" si="2"/>
        <v>0</v>
      </c>
      <c r="O43" s="203"/>
      <c r="P43" s="207">
        <v>25</v>
      </c>
    </row>
    <row r="44" spans="1:16" ht="12" customHeight="1" x14ac:dyDescent="0.2">
      <c r="A44" s="90"/>
      <c r="B44" s="2" t="s">
        <v>222</v>
      </c>
      <c r="C44" s="2"/>
      <c r="D44" s="2"/>
      <c r="E44" s="187">
        <v>26</v>
      </c>
      <c r="F44" s="203"/>
      <c r="G44" s="204"/>
      <c r="H44" s="214">
        <f>SUM(H35:H43)</f>
        <v>0</v>
      </c>
      <c r="I44" s="214">
        <f t="shared" ref="I44:L44" si="3">SUM(I35:I43)</f>
        <v>0</v>
      </c>
      <c r="J44" s="214">
        <f>SUM(J35:J43)</f>
        <v>0</v>
      </c>
      <c r="K44" s="214">
        <f>SUM(K35:K43)</f>
        <v>0</v>
      </c>
      <c r="L44" s="214">
        <f t="shared" si="3"/>
        <v>0</v>
      </c>
      <c r="M44" s="214">
        <f>SUM(M35:M43)</f>
        <v>0</v>
      </c>
      <c r="N44" s="214">
        <f>SUM(N35:N43)</f>
        <v>0</v>
      </c>
      <c r="O44" s="203"/>
      <c r="P44" s="207">
        <v>26</v>
      </c>
    </row>
    <row r="45" spans="1:16" ht="12" customHeight="1" x14ac:dyDescent="0.2">
      <c r="A45" s="86" t="s">
        <v>223</v>
      </c>
      <c r="E45" s="191"/>
      <c r="F45" s="195"/>
      <c r="G45" s="758"/>
      <c r="H45" s="146"/>
      <c r="I45" s="146"/>
      <c r="J45" s="146"/>
      <c r="K45" s="146"/>
      <c r="L45" s="146"/>
      <c r="M45" s="146"/>
      <c r="N45" s="146"/>
      <c r="O45" s="195"/>
      <c r="P45" s="207"/>
    </row>
    <row r="46" spans="1:16" ht="12" customHeight="1" x14ac:dyDescent="0.2">
      <c r="A46" s="86"/>
      <c r="B46" t="s">
        <v>207</v>
      </c>
      <c r="E46" s="191"/>
      <c r="F46" s="198"/>
      <c r="G46" s="759"/>
      <c r="H46" s="199"/>
      <c r="I46" s="199"/>
      <c r="J46" s="199"/>
      <c r="K46" s="199"/>
      <c r="L46" s="199"/>
      <c r="M46" s="199"/>
      <c r="N46" s="199"/>
      <c r="O46" s="198"/>
      <c r="P46" s="207"/>
    </row>
    <row r="47" spans="1:16" ht="12" customHeight="1" x14ac:dyDescent="0.2">
      <c r="A47" s="86"/>
      <c r="C47" t="s">
        <v>217</v>
      </c>
      <c r="E47" s="191">
        <v>27</v>
      </c>
      <c r="F47" s="198"/>
      <c r="G47" s="759"/>
      <c r="H47" s="603">
        <f>SUMIFS('Accounting data'!$G$2:$G$37000,'Accounting data'!$H$2:$H$37000,"1072*",'Accounting data'!$I$2:$I$37000,"435*",'Accounting data'!$J$2:$J$37000,"27*",'Accounting data'!$K$2:$K$37000,"61*")</f>
        <v>0</v>
      </c>
      <c r="I47" s="603">
        <f>SUMIFS('Accounting data'!$G$2:$G$37000,'Accounting data'!$H$2:$H$37000,"1072*",'Accounting data'!$I$2:$I$37000,"435*",'Accounting data'!$J$2:$J$37000,"27*",'Accounting data'!$K$2:$K$37000,"62*")</f>
        <v>0</v>
      </c>
      <c r="J47" s="603">
        <f>SUMIFS('Accounting data'!$G$2:$G$37000,'Accounting data'!$H$2:$H$37000,"1072*",'Accounting data'!$I$2:$I$37000,"435*",'Accounting data'!$J$2:$J$37000,"27*",'Accounting data'!$K$2:$K$37000,"63*")</f>
        <v>0</v>
      </c>
      <c r="K47" s="603">
        <f>SUMIFS('Accounting data'!$G$2:$G$37000,'Accounting data'!$H$2:$H$37000,"1072*",'Accounting data'!$I$2:$I$37000,"435*",'Accounting data'!$J$2:$J$37000,"27*",'Accounting data'!$K$2:$K$37000,"66*")</f>
        <v>0</v>
      </c>
      <c r="L47" s="603">
        <f>SUMIFS('Accounting data'!$G$2:$G$37000,'Accounting data'!$H$2:$H$37000,"1072*",'Accounting data'!$I$2:$I$37000,"435*",'Accounting data'!$J$2:$J$37000,"27*",'Accounting data'!$K$2:$K$37000,"68*")</f>
        <v>0</v>
      </c>
      <c r="M47" s="603">
        <f>[3]!CIP1072P435F2700</f>
        <v>0</v>
      </c>
      <c r="N47" s="603">
        <f>SUM(H47:L47)</f>
        <v>0</v>
      </c>
      <c r="O47" s="198"/>
      <c r="P47" s="207">
        <v>27</v>
      </c>
    </row>
    <row r="48" spans="1:16" ht="12" customHeight="1" x14ac:dyDescent="0.2">
      <c r="A48" s="96" t="s">
        <v>224</v>
      </c>
      <c r="B48" s="97"/>
      <c r="C48" s="97"/>
      <c r="D48" s="97"/>
      <c r="E48" s="208">
        <v>28</v>
      </c>
      <c r="F48" s="596">
        <f>[4]!CIP1072EndBal</f>
        <v>0</v>
      </c>
      <c r="G48" s="598">
        <f>G32</f>
        <v>0</v>
      </c>
      <c r="H48" s="603">
        <f t="shared" ref="H48:L48" si="4">SUM(H44:H47)</f>
        <v>0</v>
      </c>
      <c r="I48" s="603">
        <f t="shared" si="4"/>
        <v>0</v>
      </c>
      <c r="J48" s="603">
        <f t="shared" si="4"/>
        <v>0</v>
      </c>
      <c r="K48" s="603">
        <f t="shared" si="4"/>
        <v>0</v>
      </c>
      <c r="L48" s="603">
        <f t="shared" si="4"/>
        <v>0</v>
      </c>
      <c r="M48" s="598">
        <f>SUM(M44:M47)</f>
        <v>0</v>
      </c>
      <c r="N48" s="598">
        <f>SUM(N44:N47)</f>
        <v>0</v>
      </c>
      <c r="O48" s="598">
        <f>F48+G48-N48</f>
        <v>0</v>
      </c>
      <c r="P48" s="207">
        <v>28</v>
      </c>
    </row>
  </sheetData>
  <sheetProtection formatCells="0" formatColumns="0" formatRows="0"/>
  <mergeCells count="30">
    <mergeCell ref="G45:G47"/>
    <mergeCell ref="M28:M29"/>
    <mergeCell ref="N28:N29"/>
    <mergeCell ref="O28:O29"/>
    <mergeCell ref="N14:N15"/>
    <mergeCell ref="G28:G29"/>
    <mergeCell ref="G36:G37"/>
    <mergeCell ref="H28:H29"/>
    <mergeCell ref="I28:I29"/>
    <mergeCell ref="J28:J29"/>
    <mergeCell ref="K28:K29"/>
    <mergeCell ref="L28:L29"/>
    <mergeCell ref="O6:O7"/>
    <mergeCell ref="G11:G13"/>
    <mergeCell ref="G23:G25"/>
    <mergeCell ref="G14:G15"/>
    <mergeCell ref="G6:G7"/>
    <mergeCell ref="K6:K7"/>
    <mergeCell ref="L6:L7"/>
    <mergeCell ref="F28:F29"/>
    <mergeCell ref="F6:F7"/>
    <mergeCell ref="M3:N3"/>
    <mergeCell ref="M14:M15"/>
    <mergeCell ref="M6:M7"/>
    <mergeCell ref="D1:E1"/>
    <mergeCell ref="J1:K1"/>
    <mergeCell ref="A27:L27"/>
    <mergeCell ref="H6:H7"/>
    <mergeCell ref="I6:I7"/>
    <mergeCell ref="J6:J7"/>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zoomScaleNormal="100" workbookViewId="0">
      <selection activeCell="V25" sqref="V25"/>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5" t="s">
        <v>0</v>
      </c>
      <c r="C1" s="730" t="str">
        <f>'Cover Page'!D1</f>
        <v>ASU Preparatory Academy - Phoenix Middle School</v>
      </c>
      <c r="D1" s="730"/>
      <c r="E1" s="730"/>
      <c r="F1" s="730"/>
      <c r="H1" t="s">
        <v>20</v>
      </c>
      <c r="I1" s="595" t="s">
        <v>1</v>
      </c>
      <c r="L1" s="616" t="str">
        <f>'Cover Page'!M1</f>
        <v>Maricopa</v>
      </c>
      <c r="T1" s="57" t="s">
        <v>2</v>
      </c>
      <c r="U1" s="215" t="str">
        <f>'Cover Page'!R1</f>
        <v>078250000</v>
      </c>
    </row>
    <row r="2" spans="1:50" hidden="1" x14ac:dyDescent="0.2">
      <c r="T2" s="65"/>
      <c r="U2" s="65"/>
    </row>
    <row r="3" spans="1:50" x14ac:dyDescent="0.2">
      <c r="V3" s="154"/>
      <c r="AE3" s="593"/>
      <c r="AF3" s="593"/>
      <c r="AG3" s="593"/>
      <c r="AH3" s="593"/>
      <c r="AI3" s="593"/>
      <c r="AJ3" s="593"/>
      <c r="AK3" s="593"/>
      <c r="AL3" s="593"/>
      <c r="AM3" s="593"/>
      <c r="AN3" s="593"/>
      <c r="AO3" s="593"/>
      <c r="AP3" s="593"/>
      <c r="AQ3" s="593"/>
      <c r="AR3" s="593"/>
      <c r="AS3" s="593"/>
      <c r="AT3" s="593"/>
      <c r="AU3" s="593"/>
      <c r="AV3" s="593"/>
      <c r="AW3" s="593"/>
      <c r="AX3" s="593"/>
    </row>
    <row r="4" spans="1:50" x14ac:dyDescent="0.2">
      <c r="A4" s="216" t="s">
        <v>225</v>
      </c>
      <c r="B4" s="65"/>
      <c r="C4" s="65"/>
      <c r="D4" s="65"/>
      <c r="E4" s="65"/>
      <c r="F4" s="65"/>
      <c r="G4" s="65"/>
      <c r="H4" s="65"/>
      <c r="I4" s="65"/>
      <c r="J4" s="65"/>
      <c r="K4" s="65"/>
      <c r="L4" s="65"/>
      <c r="M4" s="65"/>
      <c r="N4" s="65"/>
      <c r="O4" s="65"/>
      <c r="P4" s="65"/>
      <c r="Q4" s="65"/>
      <c r="R4" s="65"/>
      <c r="S4" s="65"/>
      <c r="T4" s="65"/>
      <c r="U4" s="65"/>
      <c r="AE4" s="593"/>
      <c r="AF4" s="593"/>
      <c r="AG4" s="593"/>
      <c r="AH4" s="593"/>
      <c r="AI4" s="593"/>
      <c r="AJ4" s="593"/>
      <c r="AK4" s="593"/>
      <c r="AL4" s="593"/>
      <c r="AM4" s="593"/>
      <c r="AN4" s="593"/>
      <c r="AO4" s="593"/>
      <c r="AP4" s="593"/>
      <c r="AQ4" s="593"/>
      <c r="AR4" s="593"/>
      <c r="AS4" s="593"/>
      <c r="AT4" s="593"/>
      <c r="AU4" s="593"/>
      <c r="AV4" s="593"/>
      <c r="AW4" s="593"/>
      <c r="AX4" s="593"/>
    </row>
    <row r="5" spans="1:50" x14ac:dyDescent="0.2">
      <c r="D5" s="679" t="s">
        <v>1181</v>
      </c>
      <c r="F5" s="679" t="s">
        <v>1182</v>
      </c>
      <c r="AE5" s="593"/>
      <c r="AF5" s="593"/>
      <c r="AG5" s="593"/>
      <c r="AH5" s="593"/>
      <c r="AI5" s="593"/>
      <c r="AJ5" s="593"/>
      <c r="AK5" s="593"/>
      <c r="AL5" s="593"/>
      <c r="AM5" s="593"/>
      <c r="AN5" s="593"/>
      <c r="AO5" s="593"/>
      <c r="AP5" s="593"/>
      <c r="AQ5" s="593"/>
      <c r="AR5" s="593"/>
      <c r="AS5" s="593"/>
      <c r="AT5" s="593"/>
      <c r="AU5" s="593"/>
      <c r="AV5" s="593"/>
      <c r="AW5" s="593"/>
      <c r="AX5" s="593"/>
    </row>
    <row r="6" spans="1:50" x14ac:dyDescent="0.2">
      <c r="A6" t="s">
        <v>226</v>
      </c>
      <c r="B6" t="s">
        <v>227</v>
      </c>
      <c r="C6" s="3" t="s">
        <v>16</v>
      </c>
      <c r="D6" s="217">
        <f>[4]!CashBal</f>
        <v>1517055</v>
      </c>
      <c r="E6" s="3" t="s">
        <v>16</v>
      </c>
      <c r="F6" s="53">
        <v>752438</v>
      </c>
      <c r="I6" t="s">
        <v>228</v>
      </c>
      <c r="J6" s="218" t="s">
        <v>24</v>
      </c>
      <c r="K6" s="219" t="s">
        <v>229</v>
      </c>
      <c r="L6" s="220"/>
      <c r="M6" s="221"/>
      <c r="N6" s="220"/>
      <c r="O6" s="221"/>
      <c r="P6" s="220"/>
      <c r="Q6" s="221"/>
      <c r="T6" s="22">
        <v>21</v>
      </c>
      <c r="U6" s="725"/>
      <c r="V6" s="725"/>
      <c r="W6" s="725"/>
      <c r="X6" s="725"/>
      <c r="Y6" s="725"/>
      <c r="Z6" s="725"/>
      <c r="AA6" s="725"/>
      <c r="AE6" s="593"/>
      <c r="AF6" s="593"/>
      <c r="AG6" s="593"/>
      <c r="AH6" s="593"/>
      <c r="AI6" s="593"/>
      <c r="AJ6" s="593"/>
      <c r="AK6" s="593"/>
      <c r="AL6" s="593"/>
      <c r="AM6" s="593"/>
      <c r="AN6" s="593"/>
      <c r="AO6" s="593"/>
      <c r="AP6" s="593"/>
      <c r="AQ6" s="593"/>
      <c r="AR6" s="593"/>
      <c r="AS6" s="593"/>
      <c r="AT6" s="593"/>
      <c r="AU6" s="593"/>
      <c r="AV6" s="593"/>
      <c r="AW6" s="593"/>
      <c r="AX6" s="593"/>
    </row>
    <row r="7" spans="1:50" x14ac:dyDescent="0.2">
      <c r="D7" s="223"/>
      <c r="F7" s="223"/>
      <c r="J7" s="218" t="s">
        <v>26</v>
      </c>
      <c r="K7" s="219" t="s">
        <v>230</v>
      </c>
      <c r="L7" s="220"/>
      <c r="M7" s="221"/>
      <c r="N7" s="220"/>
      <c r="O7" s="221"/>
      <c r="P7" s="220"/>
      <c r="Q7" s="221"/>
      <c r="T7" s="22">
        <v>6</v>
      </c>
      <c r="AA7" s="224"/>
      <c r="AE7" s="593"/>
      <c r="AF7" s="593"/>
      <c r="AG7" s="593"/>
      <c r="AH7" s="593"/>
      <c r="AI7" s="593"/>
      <c r="AJ7" s="593"/>
      <c r="AK7" s="593"/>
      <c r="AL7" s="593"/>
      <c r="AM7" s="593"/>
      <c r="AN7" s="593"/>
      <c r="AO7" s="593"/>
      <c r="AP7" s="593"/>
      <c r="AQ7" s="593"/>
      <c r="AR7" s="593"/>
      <c r="AS7" s="593"/>
      <c r="AT7" s="593"/>
      <c r="AU7" s="593"/>
      <c r="AV7" s="593"/>
      <c r="AW7" s="593"/>
      <c r="AX7" s="593"/>
    </row>
    <row r="8" spans="1:50" x14ac:dyDescent="0.2">
      <c r="A8" t="s">
        <v>231</v>
      </c>
      <c r="B8" s="219" t="s">
        <v>232</v>
      </c>
      <c r="C8" s="3"/>
      <c r="E8" s="3"/>
      <c r="F8" s="631" t="s">
        <v>101</v>
      </c>
      <c r="G8" s="631" t="s">
        <v>23</v>
      </c>
      <c r="J8" s="218" t="s">
        <v>28</v>
      </c>
      <c r="K8" s="219" t="s">
        <v>233</v>
      </c>
      <c r="L8" s="220"/>
      <c r="M8" s="221"/>
      <c r="N8" s="220"/>
      <c r="O8" s="221"/>
      <c r="P8" s="220"/>
      <c r="Q8" s="221"/>
      <c r="T8" s="25">
        <v>0</v>
      </c>
      <c r="AA8" s="224" t="str">
        <f>IF(OR(T6="",T7="",T8="",T9="",T10="",T11="",T12="",T13="",T29=""),"yes","")</f>
        <v/>
      </c>
      <c r="AE8" s="593"/>
      <c r="AF8" s="593"/>
      <c r="AG8" s="593"/>
      <c r="AH8" s="593"/>
      <c r="AI8" s="593"/>
      <c r="AJ8" s="593"/>
      <c r="AK8" s="593"/>
      <c r="AL8" s="593"/>
      <c r="AM8" s="593"/>
      <c r="AN8" s="593"/>
      <c r="AO8" s="593"/>
      <c r="AP8" s="593"/>
      <c r="AQ8" s="593"/>
      <c r="AR8" s="593"/>
      <c r="AS8" s="593"/>
      <c r="AT8" s="593"/>
      <c r="AU8" s="593"/>
      <c r="AV8" s="593"/>
      <c r="AW8" s="593"/>
      <c r="AX8" s="593"/>
    </row>
    <row r="9" spans="1:50" x14ac:dyDescent="0.2">
      <c r="B9" t="s">
        <v>234</v>
      </c>
      <c r="C9" s="3"/>
      <c r="E9" s="3"/>
      <c r="F9" s="49">
        <v>3711</v>
      </c>
      <c r="G9" s="49">
        <v>2185</v>
      </c>
      <c r="J9" s="225" t="s">
        <v>31</v>
      </c>
      <c r="K9" t="s">
        <v>235</v>
      </c>
      <c r="T9" s="23">
        <v>1</v>
      </c>
      <c r="AA9" s="224" t="str">
        <f>IF(OR(M19="",P19="",R19="",S19="",T19="",M20="",P20="",R20="",S20="",T20="",M21="",P21="",R21="",S21="",T21="",M22="",P22="",R22="",S22="",T22="",M24="",P24="",R24="",S24="",T24=""),"yes","")</f>
        <v/>
      </c>
      <c r="AE9" s="593"/>
      <c r="AF9" s="593"/>
      <c r="AG9" s="593"/>
      <c r="AH9" s="593"/>
      <c r="AI9" s="593"/>
      <c r="AJ9" s="593"/>
      <c r="AK9" s="593"/>
      <c r="AL9" s="593"/>
      <c r="AM9" s="593"/>
      <c r="AN9" s="593"/>
      <c r="AO9" s="593"/>
      <c r="AP9" s="593"/>
      <c r="AQ9" s="593"/>
      <c r="AR9" s="593"/>
      <c r="AS9" s="593"/>
      <c r="AT9" s="593"/>
      <c r="AU9" s="593"/>
      <c r="AV9" s="593"/>
      <c r="AW9" s="593"/>
      <c r="AX9" s="593"/>
    </row>
    <row r="10" spans="1:50" ht="13.5" thickBot="1" x14ac:dyDescent="0.25">
      <c r="B10" t="s">
        <v>236</v>
      </c>
      <c r="F10" s="52">
        <v>1160</v>
      </c>
      <c r="G10" s="52">
        <v>975</v>
      </c>
      <c r="J10" s="225" t="s">
        <v>33</v>
      </c>
      <c r="K10" t="s">
        <v>237</v>
      </c>
      <c r="T10" s="22">
        <v>180</v>
      </c>
      <c r="AA10" s="224" t="str">
        <f>IF(AND(AA7="",AA8="",AA9=""),"","yes")</f>
        <v/>
      </c>
      <c r="AE10" s="593"/>
      <c r="AF10" s="593"/>
      <c r="AG10" s="593"/>
      <c r="AH10" s="593"/>
      <c r="AI10" s="593"/>
      <c r="AJ10" s="593"/>
      <c r="AK10" s="593"/>
      <c r="AL10" s="593"/>
      <c r="AM10" s="593"/>
      <c r="AN10" s="593"/>
      <c r="AO10" s="593"/>
      <c r="AP10" s="593"/>
      <c r="AQ10" s="593"/>
      <c r="AR10" s="593"/>
      <c r="AS10" s="593"/>
      <c r="AT10" s="593"/>
      <c r="AU10" s="593"/>
      <c r="AV10" s="593"/>
      <c r="AW10" s="593"/>
      <c r="AX10" s="593"/>
    </row>
    <row r="11" spans="1:50" ht="13.5" thickBot="1" x14ac:dyDescent="0.25">
      <c r="B11" t="s">
        <v>238</v>
      </c>
      <c r="F11" s="227">
        <f>SUM(F9:F10)</f>
        <v>4871</v>
      </c>
      <c r="G11" s="227">
        <f>SUM(G9:G10)</f>
        <v>3160</v>
      </c>
      <c r="J11" s="88" t="s">
        <v>35</v>
      </c>
      <c r="K11" t="s">
        <v>239</v>
      </c>
      <c r="S11" s="3" t="s">
        <v>16</v>
      </c>
      <c r="T11" s="23">
        <v>0</v>
      </c>
      <c r="AE11" s="593"/>
      <c r="AF11" s="593"/>
      <c r="AG11" s="593"/>
      <c r="AH11" s="593"/>
      <c r="AI11" s="593"/>
      <c r="AJ11" s="593"/>
      <c r="AK11" s="593"/>
      <c r="AL11" s="593"/>
      <c r="AM11" s="593"/>
      <c r="AN11" s="593"/>
      <c r="AO11" s="593"/>
      <c r="AP11" s="593"/>
      <c r="AQ11" s="593"/>
      <c r="AR11" s="593"/>
      <c r="AS11" s="593"/>
      <c r="AT11" s="593"/>
      <c r="AU11" s="593"/>
      <c r="AV11" s="593"/>
      <c r="AW11" s="593"/>
      <c r="AX11" s="593"/>
    </row>
    <row r="12" spans="1:50" ht="13.5" thickTop="1" x14ac:dyDescent="0.2">
      <c r="J12" s="88" t="s">
        <v>37</v>
      </c>
      <c r="K12" t="s">
        <v>240</v>
      </c>
      <c r="S12" s="3" t="s">
        <v>16</v>
      </c>
      <c r="T12" s="23">
        <v>0</v>
      </c>
      <c r="AE12" s="593"/>
      <c r="AF12" s="593"/>
      <c r="AG12" s="593"/>
      <c r="AH12" s="593"/>
      <c r="AI12" s="593"/>
      <c r="AJ12" s="593"/>
      <c r="AK12" s="593"/>
      <c r="AL12" s="593"/>
      <c r="AM12" s="593"/>
      <c r="AN12" s="593"/>
      <c r="AO12" s="593"/>
      <c r="AP12" s="593"/>
      <c r="AQ12" s="593"/>
      <c r="AR12" s="593"/>
      <c r="AS12" s="593"/>
      <c r="AT12" s="593"/>
      <c r="AU12" s="593"/>
      <c r="AV12" s="593"/>
      <c r="AW12" s="593"/>
      <c r="AX12" s="593"/>
    </row>
    <row r="13" spans="1:50" x14ac:dyDescent="0.2">
      <c r="A13" t="s">
        <v>241</v>
      </c>
      <c r="B13" s="219" t="s">
        <v>242</v>
      </c>
      <c r="F13" s="631" t="s">
        <v>101</v>
      </c>
      <c r="G13" s="631" t="s">
        <v>23</v>
      </c>
      <c r="J13" s="88" t="s">
        <v>39</v>
      </c>
      <c r="K13" t="s">
        <v>243</v>
      </c>
      <c r="S13" s="3" t="s">
        <v>16</v>
      </c>
      <c r="T13" s="624">
        <v>18494</v>
      </c>
      <c r="AE13" s="593"/>
      <c r="AF13" s="593"/>
      <c r="AG13" s="593"/>
      <c r="AH13" s="593"/>
      <c r="AI13" s="593"/>
      <c r="AJ13" s="593"/>
      <c r="AK13" s="593"/>
      <c r="AL13" s="593"/>
      <c r="AM13" s="593"/>
      <c r="AN13" s="593"/>
      <c r="AO13" s="593"/>
      <c r="AP13" s="593"/>
      <c r="AQ13" s="593"/>
      <c r="AR13" s="593"/>
      <c r="AS13" s="593"/>
      <c r="AT13" s="593"/>
      <c r="AU13" s="593"/>
      <c r="AV13" s="593"/>
      <c r="AW13" s="593"/>
      <c r="AX13" s="593"/>
    </row>
    <row r="14" spans="1:50" x14ac:dyDescent="0.2">
      <c r="B14" t="s">
        <v>244</v>
      </c>
      <c r="F14" s="596">
        <f>[3]!CA0181IntangibleAssets</f>
        <v>0</v>
      </c>
      <c r="G14" s="47">
        <v>0</v>
      </c>
      <c r="J14" s="88"/>
      <c r="T14" s="3"/>
      <c r="U14" s="228"/>
      <c r="AE14" s="593"/>
      <c r="AF14" s="593"/>
      <c r="AG14" s="593"/>
      <c r="AH14" s="593"/>
      <c r="AI14" s="593"/>
      <c r="AJ14" s="593"/>
      <c r="AK14" s="593"/>
      <c r="AL14" s="593"/>
      <c r="AM14" s="593"/>
      <c r="AN14" s="593"/>
      <c r="AO14" s="593"/>
      <c r="AP14" s="593"/>
      <c r="AQ14" s="593"/>
      <c r="AR14" s="593"/>
      <c r="AS14" s="593"/>
      <c r="AT14" s="593"/>
      <c r="AU14" s="593"/>
      <c r="AV14" s="593"/>
      <c r="AW14" s="593"/>
      <c r="AX14" s="593"/>
    </row>
    <row r="15" spans="1:50" x14ac:dyDescent="0.2">
      <c r="B15" t="s">
        <v>245</v>
      </c>
      <c r="F15" s="596">
        <f>[3]!CA0191Land</f>
        <v>0</v>
      </c>
      <c r="G15" s="47">
        <v>0</v>
      </c>
      <c r="AE15" s="593"/>
      <c r="AF15" s="593"/>
      <c r="AG15" s="593"/>
      <c r="AH15" s="593"/>
      <c r="AI15" s="593"/>
      <c r="AJ15" s="593"/>
      <c r="AK15" s="593"/>
      <c r="AL15" s="593"/>
      <c r="AM15" s="593"/>
      <c r="AN15" s="593"/>
      <c r="AO15" s="593"/>
      <c r="AP15" s="593"/>
      <c r="AQ15" s="593"/>
      <c r="AR15" s="593"/>
      <c r="AS15" s="593"/>
      <c r="AT15" s="593"/>
      <c r="AU15" s="593"/>
      <c r="AV15" s="593"/>
      <c r="AW15" s="593"/>
      <c r="AX15" s="593"/>
    </row>
    <row r="16" spans="1:50" ht="12.75" customHeight="1" x14ac:dyDescent="0.2">
      <c r="B16" t="s">
        <v>246</v>
      </c>
      <c r="F16" s="596">
        <f>[3]!CA0192SiteImprovements</f>
        <v>0</v>
      </c>
      <c r="G16" s="47">
        <v>0</v>
      </c>
      <c r="M16" s="765" t="s">
        <v>247</v>
      </c>
      <c r="N16" s="780"/>
      <c r="O16" s="766"/>
      <c r="P16" s="765" t="s">
        <v>248</v>
      </c>
      <c r="Q16" s="766"/>
      <c r="R16" s="229" t="s">
        <v>247</v>
      </c>
      <c r="S16" s="229" t="s">
        <v>248</v>
      </c>
      <c r="T16" s="229" t="s">
        <v>249</v>
      </c>
      <c r="V16" s="4"/>
      <c r="W16" s="4"/>
      <c r="AE16" s="593"/>
      <c r="AF16" s="593"/>
      <c r="AG16" s="593"/>
      <c r="AH16" s="593"/>
      <c r="AI16" s="593"/>
      <c r="AJ16" s="593"/>
      <c r="AK16" s="593"/>
      <c r="AL16" s="593"/>
      <c r="AM16" s="593"/>
      <c r="AN16" s="593"/>
      <c r="AO16" s="593"/>
      <c r="AP16" s="593"/>
      <c r="AQ16" s="593"/>
      <c r="AR16" s="593"/>
      <c r="AS16" s="593"/>
      <c r="AT16" s="593"/>
      <c r="AU16" s="593"/>
      <c r="AV16" s="593"/>
      <c r="AW16" s="593"/>
      <c r="AX16" s="593"/>
    </row>
    <row r="17" spans="1:50" ht="12.75" customHeight="1" x14ac:dyDescent="0.2">
      <c r="B17" t="s">
        <v>250</v>
      </c>
      <c r="F17" s="596">
        <f>[3]!CA0194Buildings</f>
        <v>0</v>
      </c>
      <c r="G17" s="47">
        <v>0</v>
      </c>
      <c r="I17" t="s">
        <v>251</v>
      </c>
      <c r="J17" s="219" t="s">
        <v>252</v>
      </c>
      <c r="K17" s="219"/>
      <c r="L17" s="219"/>
      <c r="M17" s="773" t="s">
        <v>253</v>
      </c>
      <c r="N17" s="774"/>
      <c r="O17" s="775"/>
      <c r="P17" s="773" t="s">
        <v>253</v>
      </c>
      <c r="Q17" s="775"/>
      <c r="R17" s="230" t="s">
        <v>254</v>
      </c>
      <c r="S17" s="230" t="s">
        <v>254</v>
      </c>
      <c r="T17" s="230" t="s">
        <v>253</v>
      </c>
      <c r="V17" s="4"/>
      <c r="W17" s="4"/>
      <c r="AE17" s="593"/>
      <c r="AF17" s="593"/>
      <c r="AG17" s="593"/>
      <c r="AH17" s="593"/>
      <c r="AI17" s="593"/>
      <c r="AJ17" s="593"/>
      <c r="AK17" s="593"/>
      <c r="AL17" s="593"/>
      <c r="AM17" s="593"/>
      <c r="AN17" s="593"/>
      <c r="AO17" s="593"/>
      <c r="AP17" s="593"/>
      <c r="AQ17" s="593"/>
      <c r="AR17" s="593"/>
      <c r="AS17" s="593"/>
      <c r="AT17" s="593"/>
      <c r="AU17" s="593"/>
      <c r="AV17" s="593"/>
      <c r="AW17" s="593"/>
      <c r="AX17" s="593"/>
    </row>
    <row r="18" spans="1:50" ht="12.75" customHeight="1" x14ac:dyDescent="0.2">
      <c r="B18" t="s">
        <v>255</v>
      </c>
      <c r="F18" s="596">
        <f>[3]!CA0196Equipment</f>
        <v>0</v>
      </c>
      <c r="G18" s="47">
        <v>0</v>
      </c>
      <c r="J18" s="219" t="s">
        <v>256</v>
      </c>
      <c r="K18" s="219"/>
      <c r="L18" s="219"/>
      <c r="M18" s="776" t="s">
        <v>257</v>
      </c>
      <c r="N18" s="777"/>
      <c r="O18" s="778"/>
      <c r="P18" s="776" t="s">
        <v>258</v>
      </c>
      <c r="Q18" s="778"/>
      <c r="R18" s="231" t="s">
        <v>259</v>
      </c>
      <c r="S18" s="231" t="s">
        <v>260</v>
      </c>
      <c r="T18" s="231" t="s">
        <v>261</v>
      </c>
      <c r="V18" s="4"/>
      <c r="W18" s="4"/>
      <c r="AE18" s="593"/>
      <c r="AF18" s="593"/>
      <c r="AG18" s="593"/>
      <c r="AH18" s="593"/>
      <c r="AI18" s="593"/>
      <c r="AJ18" s="593"/>
      <c r="AK18" s="593"/>
      <c r="AL18" s="593"/>
      <c r="AM18" s="593"/>
      <c r="AN18" s="593"/>
      <c r="AO18" s="593"/>
      <c r="AP18" s="593"/>
      <c r="AQ18" s="593"/>
      <c r="AR18" s="593"/>
      <c r="AS18" s="593"/>
      <c r="AT18" s="593"/>
      <c r="AU18" s="593"/>
      <c r="AV18" s="593"/>
      <c r="AW18" s="593"/>
      <c r="AX18" s="593"/>
    </row>
    <row r="19" spans="1:50" ht="12.75" customHeight="1" thickBot="1" x14ac:dyDescent="0.25">
      <c r="B19" s="219" t="s">
        <v>262</v>
      </c>
      <c r="F19" s="226">
        <f>[3]!CA0198CIP</f>
        <v>0</v>
      </c>
      <c r="G19" s="51">
        <v>0</v>
      </c>
      <c r="J19" s="218" t="s">
        <v>24</v>
      </c>
      <c r="K19" s="219" t="s">
        <v>263</v>
      </c>
      <c r="L19" s="219"/>
      <c r="M19" s="767">
        <v>1310311</v>
      </c>
      <c r="N19" s="768"/>
      <c r="O19" s="772"/>
      <c r="P19" s="767">
        <v>208797</v>
      </c>
      <c r="Q19" s="768"/>
      <c r="R19" s="26">
        <v>0</v>
      </c>
      <c r="S19" s="26">
        <v>0</v>
      </c>
      <c r="T19" s="26">
        <v>149797</v>
      </c>
      <c r="V19" s="4"/>
      <c r="W19" s="4"/>
      <c r="AE19" s="593"/>
      <c r="AF19" s="593"/>
      <c r="AG19" s="593"/>
      <c r="AH19" s="593"/>
      <c r="AI19" s="593"/>
      <c r="AJ19" s="593"/>
      <c r="AK19" s="593"/>
      <c r="AL19" s="593"/>
      <c r="AM19" s="593"/>
      <c r="AN19" s="593"/>
      <c r="AO19" s="593"/>
      <c r="AP19" s="593"/>
      <c r="AQ19" s="593"/>
      <c r="AR19" s="593"/>
      <c r="AS19" s="593"/>
      <c r="AT19" s="593"/>
      <c r="AU19" s="593"/>
      <c r="AV19" s="593"/>
      <c r="AW19" s="593"/>
      <c r="AX19" s="593"/>
    </row>
    <row r="20" spans="1:50" ht="13.5" customHeight="1" thickBot="1" x14ac:dyDescent="0.25">
      <c r="B20" t="s">
        <v>264</v>
      </c>
      <c r="F20" s="585">
        <f>SUM(F14:F19)</f>
        <v>0</v>
      </c>
      <c r="G20" s="227">
        <f>SUM(G14:G19)</f>
        <v>0</v>
      </c>
      <c r="J20" s="218" t="s">
        <v>26</v>
      </c>
      <c r="K20" s="219" t="s">
        <v>265</v>
      </c>
      <c r="L20" s="219"/>
      <c r="M20" s="767">
        <f>59807+3324</f>
        <v>63131</v>
      </c>
      <c r="N20" s="768"/>
      <c r="O20" s="772"/>
      <c r="P20" s="767">
        <v>0</v>
      </c>
      <c r="Q20" s="768"/>
      <c r="R20" s="26">
        <v>0</v>
      </c>
      <c r="S20" s="26">
        <v>0</v>
      </c>
      <c r="T20" s="26">
        <v>867</v>
      </c>
      <c r="V20" s="4"/>
      <c r="W20" s="4"/>
      <c r="AE20" s="593"/>
      <c r="AF20" s="593"/>
      <c r="AG20" s="593"/>
      <c r="AH20" s="593"/>
      <c r="AI20" s="593"/>
      <c r="AJ20" s="593"/>
      <c r="AK20" s="593"/>
      <c r="AL20" s="593"/>
      <c r="AM20" s="593"/>
      <c r="AN20" s="593"/>
      <c r="AO20" s="593"/>
      <c r="AP20" s="593"/>
      <c r="AQ20" s="593"/>
      <c r="AR20" s="593"/>
      <c r="AS20" s="593"/>
      <c r="AT20" s="593"/>
      <c r="AU20" s="593"/>
      <c r="AV20" s="593"/>
      <c r="AW20" s="593"/>
      <c r="AX20" s="593"/>
    </row>
    <row r="21" spans="1:50" ht="13.5" thickTop="1" x14ac:dyDescent="0.2">
      <c r="J21" s="218" t="s">
        <v>28</v>
      </c>
      <c r="K21" s="219" t="s">
        <v>266</v>
      </c>
      <c r="L21" s="219"/>
      <c r="M21" s="767">
        <v>0</v>
      </c>
      <c r="N21" s="768"/>
      <c r="O21" s="772"/>
      <c r="P21" s="767">
        <v>0</v>
      </c>
      <c r="Q21" s="768"/>
      <c r="R21" s="26">
        <v>0</v>
      </c>
      <c r="S21" s="26">
        <v>0</v>
      </c>
      <c r="T21" s="26">
        <v>0</v>
      </c>
      <c r="U21" s="228"/>
      <c r="V21" s="4"/>
      <c r="W21" s="4"/>
      <c r="AE21" s="593"/>
      <c r="AF21" s="593"/>
      <c r="AG21" s="593"/>
      <c r="AH21" s="593"/>
      <c r="AI21" s="593"/>
      <c r="AJ21" s="593"/>
      <c r="AK21" s="593"/>
      <c r="AL21" s="593"/>
      <c r="AM21" s="593"/>
      <c r="AN21" s="593"/>
      <c r="AO21" s="593"/>
      <c r="AP21" s="593"/>
      <c r="AQ21" s="593"/>
      <c r="AR21" s="593"/>
      <c r="AS21" s="593"/>
      <c r="AT21" s="593"/>
      <c r="AU21" s="593"/>
      <c r="AV21" s="593"/>
      <c r="AW21" s="593"/>
      <c r="AX21" s="593"/>
    </row>
    <row r="22" spans="1:50" ht="13.5" customHeight="1" x14ac:dyDescent="0.2">
      <c r="A22" t="s">
        <v>267</v>
      </c>
      <c r="B22" s="219" t="s">
        <v>1183</v>
      </c>
      <c r="C22" s="233"/>
      <c r="D22" s="233"/>
      <c r="E22" s="219"/>
      <c r="F22" s="219"/>
      <c r="J22" s="218" t="s">
        <v>31</v>
      </c>
      <c r="K22" s="219" t="s">
        <v>268</v>
      </c>
      <c r="L22" s="219"/>
      <c r="M22" s="769">
        <v>5266</v>
      </c>
      <c r="N22" s="770"/>
      <c r="O22" s="771"/>
      <c r="P22" s="767">
        <v>5998</v>
      </c>
      <c r="Q22" s="772"/>
      <c r="R22" s="26">
        <v>0</v>
      </c>
      <c r="S22" s="26">
        <v>0</v>
      </c>
      <c r="T22" s="26">
        <v>0</v>
      </c>
      <c r="U22" s="228"/>
      <c r="AE22" s="593"/>
      <c r="AF22" s="593"/>
      <c r="AG22" s="593"/>
      <c r="AH22" s="593"/>
      <c r="AI22" s="593"/>
      <c r="AJ22" s="593"/>
      <c r="AK22" s="593"/>
      <c r="AL22" s="593"/>
      <c r="AM22" s="593"/>
      <c r="AN22" s="593"/>
      <c r="AO22" s="593"/>
      <c r="AP22" s="593"/>
      <c r="AQ22" s="593"/>
      <c r="AR22" s="593"/>
      <c r="AS22" s="593"/>
      <c r="AT22" s="593"/>
      <c r="AU22" s="593"/>
      <c r="AV22" s="593"/>
      <c r="AW22" s="593"/>
      <c r="AX22" s="593"/>
    </row>
    <row r="23" spans="1:50" ht="13.5" customHeight="1" x14ac:dyDescent="0.2">
      <c r="B23" t="s">
        <v>244</v>
      </c>
      <c r="E23" s="3" t="s">
        <v>16</v>
      </c>
      <c r="F23" s="22">
        <v>0</v>
      </c>
      <c r="J23" s="218" t="s">
        <v>33</v>
      </c>
      <c r="K23" s="781" t="s">
        <v>269</v>
      </c>
      <c r="L23" s="782"/>
      <c r="M23" s="234"/>
      <c r="N23" s="235"/>
      <c r="O23" s="236"/>
      <c r="P23" s="235"/>
      <c r="Q23" s="236"/>
      <c r="R23" s="237"/>
      <c r="S23" s="237"/>
      <c r="T23" s="237"/>
      <c r="U23" s="228"/>
      <c r="AE23" s="593"/>
      <c r="AF23" s="593"/>
      <c r="AG23" s="593"/>
      <c r="AH23" s="593"/>
      <c r="AI23" s="593"/>
      <c r="AJ23" s="593"/>
      <c r="AK23" s="593"/>
      <c r="AL23" s="593"/>
      <c r="AM23" s="593"/>
      <c r="AN23" s="593"/>
      <c r="AO23" s="593"/>
      <c r="AP23" s="593"/>
      <c r="AQ23" s="593"/>
      <c r="AR23" s="593"/>
      <c r="AS23" s="593"/>
      <c r="AT23" s="593"/>
      <c r="AU23" s="593"/>
      <c r="AV23" s="593"/>
      <c r="AW23" s="593"/>
      <c r="AX23" s="593"/>
    </row>
    <row r="24" spans="1:50" ht="13.5" customHeight="1" x14ac:dyDescent="0.2">
      <c r="B24" t="s">
        <v>245</v>
      </c>
      <c r="E24" s="3" t="s">
        <v>16</v>
      </c>
      <c r="F24" s="22">
        <v>0</v>
      </c>
      <c r="J24" s="238"/>
      <c r="K24" s="781"/>
      <c r="L24" s="782"/>
      <c r="M24" s="790">
        <f>2954+375</f>
        <v>3329</v>
      </c>
      <c r="N24" s="791"/>
      <c r="O24" s="792"/>
      <c r="P24" s="790">
        <v>600</v>
      </c>
      <c r="Q24" s="791"/>
      <c r="R24" s="27">
        <v>0</v>
      </c>
      <c r="S24" s="27">
        <v>0</v>
      </c>
      <c r="T24" s="27">
        <v>0</v>
      </c>
      <c r="U24" s="228"/>
      <c r="AE24" s="593"/>
      <c r="AF24" s="593"/>
      <c r="AG24" s="593"/>
      <c r="AH24" s="593"/>
      <c r="AI24" s="593"/>
      <c r="AJ24" s="593"/>
      <c r="AK24" s="593"/>
      <c r="AL24" s="593"/>
      <c r="AM24" s="593"/>
      <c r="AN24" s="593"/>
      <c r="AO24" s="593"/>
      <c r="AP24" s="593"/>
      <c r="AQ24" s="593"/>
      <c r="AR24" s="593"/>
      <c r="AS24" s="593"/>
      <c r="AT24" s="593"/>
      <c r="AU24" s="593"/>
      <c r="AV24" s="593"/>
      <c r="AW24" s="593"/>
      <c r="AX24" s="593"/>
    </row>
    <row r="25" spans="1:50" ht="13.5" customHeight="1" x14ac:dyDescent="0.2">
      <c r="B25" t="s">
        <v>246</v>
      </c>
      <c r="E25" s="3" t="s">
        <v>16</v>
      </c>
      <c r="F25" s="22">
        <v>0</v>
      </c>
      <c r="M25" s="24"/>
      <c r="N25" s="24"/>
      <c r="O25" s="24"/>
      <c r="P25" s="24"/>
      <c r="Q25" s="24"/>
      <c r="R25" s="24"/>
      <c r="S25" s="24"/>
      <c r="T25" s="24"/>
      <c r="U25" s="24"/>
      <c r="AE25" s="593"/>
      <c r="AF25" s="593"/>
      <c r="AG25" s="593"/>
      <c r="AH25" s="593"/>
      <c r="AI25" s="593"/>
      <c r="AJ25" s="593"/>
      <c r="AK25" s="593"/>
      <c r="AL25" s="593"/>
      <c r="AM25" s="593"/>
      <c r="AN25" s="593"/>
      <c r="AO25" s="593"/>
      <c r="AP25" s="593"/>
      <c r="AQ25" s="593"/>
      <c r="AR25" s="593"/>
      <c r="AS25" s="593"/>
      <c r="AT25" s="593"/>
      <c r="AU25" s="593"/>
      <c r="AV25" s="593"/>
      <c r="AW25" s="593"/>
      <c r="AX25" s="593"/>
    </row>
    <row r="26" spans="1:50" ht="13.5" customHeight="1" x14ac:dyDescent="0.2">
      <c r="B26" t="s">
        <v>250</v>
      </c>
      <c r="E26" s="3" t="s">
        <v>16</v>
      </c>
      <c r="F26" s="23">
        <v>162972</v>
      </c>
      <c r="M26" s="228"/>
      <c r="N26" s="228"/>
      <c r="O26" s="228"/>
      <c r="P26" s="228"/>
      <c r="Q26" s="228"/>
      <c r="R26" s="228"/>
      <c r="S26" s="228"/>
      <c r="T26" s="228"/>
      <c r="U26" s="228"/>
      <c r="AI26" s="593"/>
      <c r="AJ26" s="593"/>
      <c r="AK26" s="593"/>
      <c r="AL26" s="593"/>
      <c r="AM26" s="593"/>
      <c r="AN26" s="593"/>
      <c r="AO26" s="593"/>
      <c r="AP26" s="593"/>
      <c r="AQ26" s="593"/>
      <c r="AR26" s="593"/>
      <c r="AS26" s="593"/>
      <c r="AT26" s="593"/>
      <c r="AU26" s="593"/>
      <c r="AV26" s="593"/>
      <c r="AW26" s="593"/>
      <c r="AX26" s="593"/>
    </row>
    <row r="27" spans="1:50" ht="15.75" customHeight="1" thickBot="1" x14ac:dyDescent="0.25">
      <c r="B27" t="s">
        <v>255</v>
      </c>
      <c r="E27" s="3" t="s">
        <v>16</v>
      </c>
      <c r="F27" s="22">
        <v>6008</v>
      </c>
      <c r="I27" t="s">
        <v>270</v>
      </c>
      <c r="J27" s="219" t="s">
        <v>271</v>
      </c>
      <c r="K27" s="239"/>
      <c r="L27" s="239"/>
      <c r="M27" s="239"/>
      <c r="N27" s="239"/>
      <c r="O27" s="239"/>
      <c r="P27" s="239"/>
      <c r="Q27" s="239"/>
      <c r="R27" s="239"/>
      <c r="S27" s="594"/>
      <c r="AI27" s="593"/>
      <c r="AJ27" s="593"/>
      <c r="AK27" s="593"/>
      <c r="AL27" s="593"/>
      <c r="AM27" s="593"/>
      <c r="AN27" s="593"/>
      <c r="AO27" s="593"/>
      <c r="AP27" s="593"/>
      <c r="AQ27" s="593"/>
      <c r="AR27" s="593"/>
      <c r="AS27" s="593"/>
      <c r="AT27" s="593"/>
      <c r="AU27" s="593"/>
      <c r="AV27" s="593"/>
      <c r="AW27" s="593"/>
      <c r="AX27" s="593"/>
    </row>
    <row r="28" spans="1:50" ht="13.5" customHeight="1" thickBot="1" x14ac:dyDescent="0.3">
      <c r="B28" s="219" t="s">
        <v>262</v>
      </c>
      <c r="E28" s="3" t="s">
        <v>16</v>
      </c>
      <c r="F28" s="22">
        <v>0</v>
      </c>
      <c r="I28" s="88"/>
      <c r="K28" s="28"/>
      <c r="L28" t="s">
        <v>1184</v>
      </c>
      <c r="M28" s="240"/>
      <c r="N28" s="240"/>
      <c r="O28" s="240"/>
      <c r="P28" s="240"/>
      <c r="Q28" s="240"/>
      <c r="U28" s="594"/>
      <c r="AI28" s="593"/>
      <c r="AJ28" s="593"/>
      <c r="AK28" s="593"/>
      <c r="AL28" s="593"/>
      <c r="AM28" s="593"/>
      <c r="AN28" s="593"/>
      <c r="AO28" s="593"/>
      <c r="AP28" s="593"/>
      <c r="AQ28" s="593"/>
      <c r="AR28" s="593"/>
      <c r="AS28" s="593"/>
      <c r="AT28" s="593"/>
      <c r="AU28" s="593"/>
      <c r="AV28" s="593"/>
      <c r="AW28" s="593"/>
      <c r="AX28" s="593"/>
    </row>
    <row r="29" spans="1:50" ht="13.5" customHeight="1" thickBot="1" x14ac:dyDescent="0.25">
      <c r="B29" t="s">
        <v>272</v>
      </c>
      <c r="E29" s="3" t="s">
        <v>16</v>
      </c>
      <c r="F29" s="241">
        <f>SUM(F23:F28)</f>
        <v>168980</v>
      </c>
      <c r="I29" s="88"/>
      <c r="J29" t="s">
        <v>24</v>
      </c>
      <c r="K29" t="s">
        <v>1185</v>
      </c>
      <c r="N29" s="242"/>
      <c r="S29" s="3" t="s">
        <v>16</v>
      </c>
      <c r="T29" s="54">
        <v>61314</v>
      </c>
      <c r="U29" s="594"/>
      <c r="AI29" s="593"/>
      <c r="AJ29" s="593"/>
      <c r="AK29" s="593"/>
      <c r="AL29" s="593"/>
      <c r="AM29" s="593"/>
      <c r="AN29" s="593"/>
      <c r="AO29" s="593"/>
      <c r="AP29" s="593"/>
      <c r="AQ29" s="593"/>
      <c r="AR29" s="593"/>
      <c r="AS29" s="593"/>
      <c r="AT29" s="593"/>
      <c r="AU29" s="593"/>
      <c r="AV29" s="593"/>
      <c r="AW29" s="593"/>
      <c r="AX29" s="593"/>
    </row>
    <row r="30" spans="1:50" ht="13.5" thickTop="1" x14ac:dyDescent="0.2">
      <c r="I30" s="88"/>
      <c r="J30" t="s">
        <v>26</v>
      </c>
      <c r="K30" t="s">
        <v>1186</v>
      </c>
      <c r="L30" s="157"/>
      <c r="M30" s="157"/>
      <c r="S30" s="3" t="s">
        <v>16</v>
      </c>
      <c r="T30" s="243">
        <f>'[4]Page 6'!$T$29</f>
        <v>51464</v>
      </c>
      <c r="U30" s="594"/>
      <c r="AI30" s="593"/>
      <c r="AJ30" s="593"/>
      <c r="AK30" s="593"/>
      <c r="AL30" s="593"/>
      <c r="AM30" s="593"/>
      <c r="AN30" s="593"/>
      <c r="AO30" s="593"/>
      <c r="AP30" s="593"/>
      <c r="AQ30" s="593"/>
      <c r="AR30" s="593"/>
      <c r="AS30" s="593"/>
      <c r="AT30" s="593"/>
      <c r="AU30" s="593"/>
      <c r="AV30" s="593"/>
      <c r="AW30" s="593"/>
      <c r="AX30" s="593"/>
    </row>
    <row r="31" spans="1:50" x14ac:dyDescent="0.2">
      <c r="A31" t="s">
        <v>273</v>
      </c>
      <c r="B31" s="219" t="s">
        <v>274</v>
      </c>
      <c r="C31" s="219"/>
      <c r="D31" s="219"/>
      <c r="E31" s="244"/>
      <c r="J31" t="s">
        <v>28</v>
      </c>
      <c r="K31" t="s">
        <v>1187</v>
      </c>
      <c r="L31" s="157"/>
      <c r="M31" s="157"/>
      <c r="S31" s="3" t="s">
        <v>16</v>
      </c>
      <c r="T31" s="245">
        <f>T29-T30</f>
        <v>9850</v>
      </c>
      <c r="U31" s="594"/>
      <c r="AI31" s="593"/>
      <c r="AJ31" s="593"/>
      <c r="AK31" s="593"/>
      <c r="AL31" s="593"/>
      <c r="AM31" s="593"/>
      <c r="AN31" s="593"/>
      <c r="AO31" s="593"/>
      <c r="AP31" s="593"/>
      <c r="AQ31" s="593"/>
      <c r="AR31" s="593"/>
      <c r="AS31" s="593"/>
      <c r="AT31" s="593"/>
      <c r="AU31" s="593"/>
      <c r="AV31" s="593"/>
      <c r="AW31" s="593"/>
      <c r="AX31" s="593"/>
    </row>
    <row r="32" spans="1:50" ht="13.5" thickBot="1" x14ac:dyDescent="0.25">
      <c r="B32" t="s">
        <v>275</v>
      </c>
      <c r="F32" s="3"/>
      <c r="G32" s="24"/>
      <c r="J32" s="246" t="s">
        <v>31</v>
      </c>
      <c r="K32" t="s">
        <v>276</v>
      </c>
      <c r="L32" s="247"/>
      <c r="M32" s="247"/>
      <c r="P32" s="115"/>
      <c r="Q32" s="115"/>
      <c r="R32" s="115"/>
      <c r="S32" s="3" t="s">
        <v>16</v>
      </c>
      <c r="T32" s="248">
        <f>IF(PriorYearSalary&gt;0,T31/T30,0)</f>
        <v>0.191</v>
      </c>
      <c r="U32" s="594"/>
      <c r="AI32" s="593"/>
      <c r="AJ32" s="593"/>
      <c r="AK32" s="593"/>
      <c r="AL32" s="593"/>
      <c r="AM32" s="593"/>
      <c r="AN32" s="593"/>
      <c r="AO32" s="593"/>
      <c r="AP32" s="593"/>
      <c r="AQ32" s="593"/>
      <c r="AR32" s="593"/>
      <c r="AS32" s="593"/>
      <c r="AT32" s="593"/>
      <c r="AU32" s="593"/>
      <c r="AV32" s="593"/>
      <c r="AW32" s="593"/>
      <c r="AX32" s="593"/>
    </row>
    <row r="33" spans="1:50" ht="13.5" customHeight="1" thickTop="1" x14ac:dyDescent="0.2">
      <c r="B33" t="s">
        <v>277</v>
      </c>
      <c r="F33" s="3" t="s">
        <v>16</v>
      </c>
      <c r="G33" s="22">
        <v>2431711</v>
      </c>
      <c r="H33" s="739" t="str">
        <f>IF('Page 2'!J48=0,"",IF(OR(G36&lt;=0),"The Charter did not report any current expenses for student support services on line 4. If the Charter did not have any expense, verify by checking the box in A16 on the Cover Page.",""))</f>
        <v/>
      </c>
      <c r="I33" s="739"/>
      <c r="J33" s="739"/>
      <c r="K33" s="739"/>
      <c r="L33" s="739"/>
      <c r="M33" s="739"/>
      <c r="N33" s="739"/>
      <c r="O33" s="739"/>
      <c r="P33" s="739"/>
      <c r="Q33" s="739"/>
      <c r="R33" s="739"/>
      <c r="S33" s="739"/>
      <c r="T33" s="4"/>
      <c r="U33" s="4"/>
      <c r="V33" s="4"/>
      <c r="AI33" s="593"/>
      <c r="AJ33" s="593"/>
      <c r="AK33" s="593"/>
      <c r="AL33" s="593"/>
      <c r="AM33" s="593"/>
      <c r="AN33" s="593"/>
      <c r="AO33" s="593"/>
      <c r="AP33" s="593"/>
      <c r="AQ33" s="593"/>
      <c r="AR33" s="593"/>
      <c r="AS33" s="593"/>
      <c r="AT33" s="593"/>
      <c r="AU33" s="593"/>
      <c r="AV33" s="593"/>
      <c r="AW33" s="593"/>
      <c r="AX33" s="593"/>
    </row>
    <row r="34" spans="1:50" ht="13.5" customHeight="1" x14ac:dyDescent="0.2">
      <c r="B34" t="s">
        <v>278</v>
      </c>
      <c r="C34" s="244"/>
      <c r="D34" s="244"/>
      <c r="E34" s="244"/>
      <c r="F34" s="3" t="s">
        <v>16</v>
      </c>
      <c r="G34" s="22">
        <v>126717</v>
      </c>
      <c r="H34" s="739"/>
      <c r="I34" s="739"/>
      <c r="J34" s="739"/>
      <c r="K34" s="739"/>
      <c r="L34" s="739"/>
      <c r="M34" s="739"/>
      <c r="N34" s="739"/>
      <c r="O34" s="739"/>
      <c r="P34" s="739"/>
      <c r="Q34" s="739"/>
      <c r="R34" s="739"/>
      <c r="S34" s="739"/>
      <c r="T34" s="4"/>
      <c r="U34" s="4"/>
      <c r="AI34" s="593"/>
      <c r="AJ34" s="593"/>
      <c r="AK34" s="593"/>
      <c r="AL34" s="593"/>
      <c r="AM34" s="593"/>
      <c r="AN34" s="593"/>
      <c r="AO34" s="593"/>
      <c r="AP34" s="593"/>
      <c r="AQ34" s="593"/>
      <c r="AR34" s="593"/>
      <c r="AS34" s="593"/>
      <c r="AT34" s="593"/>
      <c r="AU34" s="593"/>
      <c r="AV34" s="593"/>
      <c r="AW34" s="593"/>
      <c r="AX34" s="593"/>
    </row>
    <row r="35" spans="1:50" x14ac:dyDescent="0.2">
      <c r="B35" t="s">
        <v>279</v>
      </c>
      <c r="C35" s="244"/>
      <c r="D35" s="244"/>
      <c r="E35" s="244"/>
      <c r="F35" s="3" t="s">
        <v>16</v>
      </c>
      <c r="G35" s="23">
        <v>1369937</v>
      </c>
      <c r="K35" t="s">
        <v>280</v>
      </c>
      <c r="AI35" s="593"/>
      <c r="AJ35" s="593"/>
      <c r="AK35" s="593"/>
      <c r="AL35" s="593"/>
      <c r="AM35" s="593"/>
      <c r="AN35" s="593"/>
      <c r="AO35" s="593"/>
      <c r="AP35" s="593"/>
      <c r="AQ35" s="593"/>
      <c r="AR35" s="593"/>
      <c r="AS35" s="593"/>
      <c r="AT35" s="593"/>
      <c r="AU35" s="593"/>
      <c r="AV35" s="593"/>
      <c r="AW35" s="593"/>
      <c r="AX35" s="593"/>
    </row>
    <row r="36" spans="1:50" x14ac:dyDescent="0.2">
      <c r="B36" t="s">
        <v>281</v>
      </c>
      <c r="C36" s="244"/>
      <c r="D36" s="244"/>
      <c r="E36" s="244"/>
      <c r="F36" s="3" t="s">
        <v>16</v>
      </c>
      <c r="G36" s="22">
        <v>549727</v>
      </c>
      <c r="K36" s="784"/>
      <c r="L36" s="785"/>
      <c r="M36" s="785"/>
      <c r="N36" s="785"/>
      <c r="O36" s="785"/>
      <c r="P36" s="785"/>
      <c r="Q36" s="785"/>
      <c r="R36" s="785"/>
      <c r="S36" s="785"/>
      <c r="T36" s="786"/>
      <c r="AI36" s="593"/>
      <c r="AJ36" s="593"/>
      <c r="AK36" s="593"/>
      <c r="AL36" s="593"/>
      <c r="AM36" s="593"/>
      <c r="AN36" s="593"/>
      <c r="AO36" s="593"/>
      <c r="AP36" s="593"/>
      <c r="AQ36" s="593"/>
      <c r="AR36" s="593"/>
      <c r="AS36" s="593"/>
      <c r="AT36" s="593"/>
      <c r="AU36" s="593"/>
      <c r="AV36" s="593"/>
      <c r="AW36" s="593"/>
      <c r="AX36" s="593"/>
    </row>
    <row r="37" spans="1:50" ht="15" x14ac:dyDescent="0.25">
      <c r="A37" s="249"/>
      <c r="B37" t="s">
        <v>282</v>
      </c>
      <c r="E37" s="244"/>
      <c r="F37" s="3"/>
      <c r="G37" s="24"/>
      <c r="K37" s="787"/>
      <c r="L37" s="788"/>
      <c r="M37" s="788"/>
      <c r="N37" s="788"/>
      <c r="O37" s="788"/>
      <c r="P37" s="788"/>
      <c r="Q37" s="788"/>
      <c r="R37" s="788"/>
      <c r="S37" s="788"/>
      <c r="T37" s="789"/>
      <c r="AI37" s="593"/>
      <c r="AJ37" s="593"/>
      <c r="AK37" s="593"/>
      <c r="AL37" s="593"/>
      <c r="AM37" s="593"/>
      <c r="AN37" s="593"/>
      <c r="AO37" s="593"/>
      <c r="AP37" s="593"/>
      <c r="AQ37" s="593"/>
      <c r="AR37" s="593"/>
      <c r="AS37" s="593"/>
      <c r="AT37" s="593"/>
      <c r="AU37" s="593"/>
      <c r="AV37" s="593"/>
      <c r="AW37" s="593"/>
      <c r="AX37" s="593"/>
    </row>
    <row r="38" spans="1:50" ht="15" x14ac:dyDescent="0.25">
      <c r="A38" s="249"/>
      <c r="B38" t="s">
        <v>283</v>
      </c>
      <c r="E38" s="244"/>
      <c r="F38" s="3" t="s">
        <v>16</v>
      </c>
      <c r="G38" s="22">
        <v>1060240</v>
      </c>
      <c r="J38" s="225"/>
      <c r="K38" s="594"/>
      <c r="S38" s="3"/>
      <c r="T38" s="250"/>
      <c r="AE38" s="593"/>
      <c r="AF38" s="593"/>
      <c r="AG38" s="593"/>
      <c r="AH38" s="593"/>
      <c r="AI38" s="593"/>
      <c r="AJ38" s="593"/>
      <c r="AK38" s="593"/>
      <c r="AL38" s="593"/>
      <c r="AM38" s="593"/>
      <c r="AN38" s="593"/>
      <c r="AO38" s="593"/>
      <c r="AP38" s="593"/>
      <c r="AQ38" s="593"/>
      <c r="AR38" s="593"/>
      <c r="AS38" s="593"/>
      <c r="AT38" s="593"/>
      <c r="AU38" s="593"/>
      <c r="AV38" s="593"/>
      <c r="AW38" s="593"/>
      <c r="AX38" s="593"/>
    </row>
    <row r="39" spans="1:50" ht="15.75" thickBot="1" x14ac:dyDescent="0.3">
      <c r="A39" s="249"/>
      <c r="B39" s="88" t="s">
        <v>284</v>
      </c>
      <c r="F39" s="3" t="s">
        <v>16</v>
      </c>
      <c r="G39" s="241">
        <f>SUM(G33:G38)</f>
        <v>5538332</v>
      </c>
      <c r="AE39" s="593"/>
      <c r="AF39" s="593"/>
      <c r="AG39" s="593"/>
      <c r="AH39" s="593"/>
      <c r="AI39" s="593"/>
      <c r="AJ39" s="593"/>
      <c r="AK39" s="593"/>
      <c r="AL39" s="593"/>
      <c r="AM39" s="593"/>
      <c r="AN39" s="593"/>
      <c r="AO39" s="593"/>
      <c r="AP39" s="593"/>
      <c r="AQ39" s="593"/>
      <c r="AR39" s="593"/>
      <c r="AS39" s="593"/>
      <c r="AT39" s="593"/>
      <c r="AU39" s="593"/>
      <c r="AV39" s="593"/>
      <c r="AW39" s="593"/>
      <c r="AX39" s="593"/>
    </row>
    <row r="40" spans="1:50" ht="13.5" customHeight="1" thickTop="1" x14ac:dyDescent="0.2">
      <c r="B40" s="779" t="s">
        <v>285</v>
      </c>
      <c r="C40" s="779"/>
      <c r="D40" s="779"/>
      <c r="E40" s="779"/>
      <c r="F40" s="3" t="s">
        <v>16</v>
      </c>
      <c r="G40" s="22">
        <v>755091</v>
      </c>
      <c r="AE40" s="593"/>
      <c r="AF40" s="593"/>
      <c r="AG40" s="593"/>
      <c r="AH40" s="593"/>
      <c r="AI40" s="593"/>
      <c r="AJ40" s="593"/>
      <c r="AK40" s="593"/>
      <c r="AL40" s="593"/>
      <c r="AM40" s="593"/>
      <c r="AN40" s="593"/>
      <c r="AO40" s="593"/>
      <c r="AP40" s="593"/>
      <c r="AQ40" s="593"/>
      <c r="AR40" s="593"/>
      <c r="AS40" s="593"/>
      <c r="AT40" s="593"/>
      <c r="AU40" s="593"/>
      <c r="AV40" s="593"/>
      <c r="AW40" s="593"/>
      <c r="AX40" s="593"/>
    </row>
    <row r="41" spans="1:50" x14ac:dyDescent="0.2">
      <c r="B41" s="783" t="s">
        <v>286</v>
      </c>
      <c r="C41" s="783"/>
      <c r="D41" s="783"/>
      <c r="E41" s="783"/>
      <c r="F41" s="3" t="s">
        <v>16</v>
      </c>
      <c r="G41" s="222">
        <f>G39-G40</f>
        <v>4783241</v>
      </c>
      <c r="AE41" s="593"/>
      <c r="AF41" s="593"/>
      <c r="AG41" s="593"/>
      <c r="AH41" s="593"/>
      <c r="AI41" s="593"/>
      <c r="AJ41" s="593"/>
      <c r="AK41" s="593"/>
      <c r="AL41" s="593"/>
      <c r="AM41" s="593"/>
      <c r="AN41" s="593"/>
      <c r="AO41" s="593"/>
      <c r="AP41" s="593"/>
      <c r="AQ41" s="593"/>
      <c r="AR41" s="593"/>
      <c r="AS41" s="593"/>
      <c r="AT41" s="593"/>
      <c r="AU41" s="593"/>
      <c r="AV41" s="593"/>
      <c r="AW41" s="593"/>
      <c r="AX41" s="593"/>
    </row>
    <row r="42" spans="1:50" x14ac:dyDescent="0.2">
      <c r="AE42" s="593"/>
      <c r="AF42" s="593"/>
      <c r="AG42" s="593"/>
      <c r="AH42" s="593"/>
      <c r="AI42" s="593"/>
      <c r="AJ42" s="593"/>
      <c r="AK42" s="593"/>
      <c r="AL42" s="593"/>
      <c r="AM42" s="593"/>
      <c r="AN42" s="593"/>
      <c r="AO42" s="593"/>
      <c r="AP42" s="593"/>
      <c r="AQ42" s="593"/>
      <c r="AR42" s="593"/>
      <c r="AS42" s="593"/>
      <c r="AT42" s="593"/>
      <c r="AU42" s="593"/>
      <c r="AV42" s="593"/>
      <c r="AW42" s="593"/>
      <c r="AX42" s="593"/>
    </row>
    <row r="43" spans="1:50" x14ac:dyDescent="0.2">
      <c r="AE43" s="593"/>
      <c r="AF43" s="593"/>
      <c r="AG43" s="593"/>
      <c r="AH43" s="593"/>
      <c r="AI43" s="593"/>
      <c r="AJ43" s="593"/>
      <c r="AK43" s="593"/>
      <c r="AL43" s="593"/>
      <c r="AM43" s="593"/>
      <c r="AN43" s="593"/>
      <c r="AO43" s="593"/>
      <c r="AP43" s="593"/>
      <c r="AQ43" s="593"/>
      <c r="AR43" s="593"/>
      <c r="AS43" s="593"/>
      <c r="AT43" s="593"/>
      <c r="AU43" s="593"/>
      <c r="AV43" s="593"/>
      <c r="AW43" s="593"/>
      <c r="AX43" s="593"/>
    </row>
    <row r="44" spans="1:50" x14ac:dyDescent="0.2">
      <c r="A44" s="594"/>
      <c r="AE44" s="593"/>
      <c r="AF44" s="593"/>
      <c r="AG44" s="593"/>
      <c r="AH44" s="593"/>
      <c r="AI44" s="593"/>
      <c r="AJ44" s="593"/>
      <c r="AK44" s="593"/>
      <c r="AL44" s="593"/>
      <c r="AM44" s="593"/>
      <c r="AN44" s="593"/>
      <c r="AO44" s="593"/>
      <c r="AP44" s="593"/>
      <c r="AQ44" s="593"/>
      <c r="AR44" s="593"/>
      <c r="AS44" s="593"/>
      <c r="AT44" s="593"/>
      <c r="AU44" s="593"/>
      <c r="AV44" s="593"/>
      <c r="AW44" s="593"/>
      <c r="AX44" s="593"/>
    </row>
    <row r="45" spans="1:50" x14ac:dyDescent="0.2">
      <c r="AE45" s="593"/>
      <c r="AF45" s="593"/>
      <c r="AG45" s="593"/>
      <c r="AH45" s="593"/>
      <c r="AI45" s="593"/>
      <c r="AJ45" s="593"/>
      <c r="AK45" s="593"/>
      <c r="AL45" s="593"/>
      <c r="AM45" s="593"/>
      <c r="AN45" s="593"/>
      <c r="AO45" s="593"/>
      <c r="AP45" s="593"/>
      <c r="AQ45" s="593"/>
      <c r="AR45" s="593"/>
      <c r="AS45" s="593"/>
      <c r="AT45" s="593"/>
      <c r="AU45" s="593"/>
      <c r="AV45" s="593"/>
      <c r="AW45" s="593"/>
      <c r="AX45" s="593"/>
    </row>
  </sheetData>
  <sheetProtection formatCells="0" formatColumns="0" formatRows="0"/>
  <mergeCells count="23">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 ref="C1:F1"/>
    <mergeCell ref="P16:Q16"/>
    <mergeCell ref="P21:Q21"/>
    <mergeCell ref="M22:O22"/>
    <mergeCell ref="P22:Q22"/>
    <mergeCell ref="M17:O17"/>
    <mergeCell ref="M18:O18"/>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D18" sqref="D18"/>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95" t="s">
        <v>0</v>
      </c>
      <c r="D1" s="730" t="str">
        <f>'Cover Page'!D1</f>
        <v>ASU Preparatory Academy - Phoenix Middle School</v>
      </c>
      <c r="E1" s="730"/>
      <c r="F1" s="730"/>
      <c r="G1" s="730"/>
      <c r="K1" s="57" t="s">
        <v>1</v>
      </c>
      <c r="L1" s="730" t="str">
        <f>'Cover Page'!M1</f>
        <v>Maricopa</v>
      </c>
      <c r="M1" s="730"/>
      <c r="P1" s="65"/>
      <c r="U1" s="57" t="s">
        <v>2</v>
      </c>
      <c r="V1" s="215" t="str">
        <f>'Cover Page'!R1</f>
        <v>078250000</v>
      </c>
    </row>
    <row r="2" spans="1:27" ht="12.75" customHeight="1" x14ac:dyDescent="0.2">
      <c r="Q2" s="65"/>
      <c r="T2" s="65"/>
    </row>
    <row r="3" spans="1:27" ht="12.75" customHeight="1" x14ac:dyDescent="0.2">
      <c r="A3" s="216" t="s">
        <v>287</v>
      </c>
      <c r="B3" s="65"/>
      <c r="C3" s="65"/>
      <c r="D3" s="65"/>
      <c r="E3" s="65"/>
      <c r="F3" s="65"/>
      <c r="G3" s="65"/>
      <c r="H3" s="65"/>
      <c r="I3" s="65"/>
      <c r="J3" s="65"/>
      <c r="K3" s="65"/>
      <c r="L3" s="65"/>
      <c r="M3" s="65"/>
      <c r="N3" s="65"/>
      <c r="O3" s="65"/>
      <c r="P3" s="65"/>
      <c r="Q3" s="65"/>
      <c r="R3" s="65"/>
      <c r="S3" s="65"/>
      <c r="T3" s="65"/>
      <c r="U3" s="65"/>
      <c r="Y3" s="57"/>
    </row>
    <row r="4" spans="1:27" ht="6" customHeight="1" x14ac:dyDescent="0.2"/>
    <row r="5" spans="1:27" ht="12.75" customHeight="1" x14ac:dyDescent="0.2">
      <c r="A5" t="s">
        <v>288</v>
      </c>
    </row>
    <row r="6" spans="1:27" ht="12.75" customHeight="1" x14ac:dyDescent="0.2">
      <c r="E6" s="745" t="s">
        <v>289</v>
      </c>
      <c r="F6" s="755"/>
      <c r="G6" s="755"/>
      <c r="H6" s="755"/>
      <c r="I6" s="755"/>
      <c r="J6" s="755"/>
      <c r="K6" s="755"/>
      <c r="L6" s="755"/>
      <c r="M6" s="755"/>
      <c r="N6" s="755"/>
      <c r="O6" s="755"/>
      <c r="P6" s="755"/>
      <c r="Q6" s="755"/>
      <c r="R6" s="746"/>
    </row>
    <row r="7" spans="1:27" ht="12.75" customHeight="1" x14ac:dyDescent="0.2">
      <c r="B7" t="s">
        <v>290</v>
      </c>
      <c r="E7" s="631" t="s">
        <v>291</v>
      </c>
      <c r="F7" s="631">
        <v>1</v>
      </c>
      <c r="G7" s="631">
        <v>2</v>
      </c>
      <c r="H7" s="631">
        <v>3</v>
      </c>
      <c r="I7" s="631">
        <v>4</v>
      </c>
      <c r="J7" s="631">
        <v>5</v>
      </c>
      <c r="K7" s="631">
        <v>6</v>
      </c>
      <c r="L7" s="631">
        <v>7</v>
      </c>
      <c r="M7" s="631">
        <v>8</v>
      </c>
      <c r="N7" s="631">
        <v>9</v>
      </c>
      <c r="O7" s="631">
        <v>10</v>
      </c>
      <c r="P7" s="631">
        <v>11</v>
      </c>
      <c r="Q7" s="631">
        <v>12</v>
      </c>
      <c r="R7" s="631" t="s">
        <v>292</v>
      </c>
      <c r="S7" s="613"/>
      <c r="T7" s="613"/>
      <c r="AA7" s="46"/>
    </row>
    <row r="8" spans="1:27" ht="12.75" customHeight="1" x14ac:dyDescent="0.2">
      <c r="B8" t="s">
        <v>293</v>
      </c>
      <c r="E8" s="47">
        <v>0</v>
      </c>
      <c r="F8" s="47">
        <v>0</v>
      </c>
      <c r="G8" s="47">
        <v>0</v>
      </c>
      <c r="H8" s="47">
        <v>0</v>
      </c>
      <c r="I8" s="47">
        <v>0</v>
      </c>
      <c r="J8" s="47">
        <v>3</v>
      </c>
      <c r="K8" s="47">
        <v>0</v>
      </c>
      <c r="L8" s="47">
        <v>0</v>
      </c>
      <c r="M8" s="47">
        <v>0</v>
      </c>
      <c r="N8" s="47">
        <v>0</v>
      </c>
      <c r="O8" s="47">
        <v>0</v>
      </c>
      <c r="P8" s="47">
        <v>0</v>
      </c>
      <c r="Q8" s="47">
        <v>0</v>
      </c>
      <c r="R8" s="598">
        <f>SUM(E8:Q8)</f>
        <v>3</v>
      </c>
      <c r="S8" s="251" t="s">
        <v>24</v>
      </c>
      <c r="AA8" s="46" t="str">
        <f>IF(OR(E8="",F8="",G8="",H8="",I8="",J8="",K8="",L8="",M8="",N8="",O8="",P8="",Q8="",E9="",F9="",G9="",H9="",I9="",J9="",K9="",L9="",M9="",N9="",O9="",P9="",Q9=""),"yes","")</f>
        <v/>
      </c>
    </row>
    <row r="9" spans="1:27" ht="12.75" customHeight="1" x14ac:dyDescent="0.2">
      <c r="B9" t="s">
        <v>294</v>
      </c>
      <c r="E9" s="47">
        <v>0</v>
      </c>
      <c r="F9" s="47">
        <v>0</v>
      </c>
      <c r="G9" s="47">
        <v>0</v>
      </c>
      <c r="H9" s="47">
        <v>0</v>
      </c>
      <c r="I9" s="47">
        <v>0</v>
      </c>
      <c r="J9" s="47">
        <v>1</v>
      </c>
      <c r="K9" s="47">
        <v>2</v>
      </c>
      <c r="L9" s="47">
        <v>0</v>
      </c>
      <c r="M9" s="47">
        <v>0</v>
      </c>
      <c r="N9" s="47">
        <v>0</v>
      </c>
      <c r="O9" s="47">
        <v>0</v>
      </c>
      <c r="P9" s="47">
        <v>0</v>
      </c>
      <c r="Q9" s="47">
        <v>0</v>
      </c>
      <c r="R9" s="598">
        <f>SUM(E9:Q9)</f>
        <v>3</v>
      </c>
      <c r="S9" s="251" t="s">
        <v>26</v>
      </c>
      <c r="AA9" s="46" t="str">
        <f>IF(OR(E10="",F10="",G10="",H10="",I10="",J10="",K10="",L10="",M10="",N10="",O10="",P10="",Q10=""),"yes","")</f>
        <v/>
      </c>
    </row>
    <row r="10" spans="1:27" ht="12.75" customHeight="1" thickBot="1" x14ac:dyDescent="0.25">
      <c r="B10" t="s">
        <v>295</v>
      </c>
      <c r="E10" s="47">
        <v>0</v>
      </c>
      <c r="F10" s="47">
        <v>0</v>
      </c>
      <c r="G10" s="47">
        <v>0</v>
      </c>
      <c r="H10" s="47">
        <v>0</v>
      </c>
      <c r="I10" s="47">
        <v>0</v>
      </c>
      <c r="J10" s="51">
        <v>3</v>
      </c>
      <c r="K10" s="51">
        <v>2</v>
      </c>
      <c r="L10" s="47">
        <v>0</v>
      </c>
      <c r="M10" s="47">
        <v>0</v>
      </c>
      <c r="N10" s="47">
        <v>0</v>
      </c>
      <c r="O10" s="47">
        <v>0</v>
      </c>
      <c r="P10" s="47">
        <v>0</v>
      </c>
      <c r="Q10" s="47">
        <v>0</v>
      </c>
      <c r="R10" s="232">
        <f>SUM(E10:Q10)</f>
        <v>5</v>
      </c>
      <c r="S10" s="251" t="s">
        <v>28</v>
      </c>
      <c r="AA10" s="46"/>
    </row>
    <row r="11" spans="1:27" ht="12.75" customHeight="1" x14ac:dyDescent="0.2">
      <c r="B11" t="s">
        <v>296</v>
      </c>
      <c r="E11" s="793">
        <f t="shared" ref="E11:Q11" si="0">SUM(E8:E10)</f>
        <v>0</v>
      </c>
      <c r="F11" s="793">
        <f t="shared" si="0"/>
        <v>0</v>
      </c>
      <c r="G11" s="793">
        <f t="shared" si="0"/>
        <v>0</v>
      </c>
      <c r="H11" s="793">
        <f t="shared" si="0"/>
        <v>0</v>
      </c>
      <c r="I11" s="793">
        <f t="shared" si="0"/>
        <v>0</v>
      </c>
      <c r="J11" s="793">
        <f t="shared" ref="J11" si="1">SUM(J8:J10)</f>
        <v>7</v>
      </c>
      <c r="K11" s="793">
        <f t="shared" si="0"/>
        <v>4</v>
      </c>
      <c r="L11" s="793">
        <f t="shared" si="0"/>
        <v>0</v>
      </c>
      <c r="M11" s="793">
        <f>SUM(M8:M10)</f>
        <v>0</v>
      </c>
      <c r="N11" s="793">
        <f t="shared" si="0"/>
        <v>0</v>
      </c>
      <c r="O11" s="793">
        <f t="shared" si="0"/>
        <v>0</v>
      </c>
      <c r="P11" s="793">
        <f t="shared" si="0"/>
        <v>0</v>
      </c>
      <c r="Q11" s="793">
        <f t="shared" si="0"/>
        <v>0</v>
      </c>
      <c r="R11" s="793">
        <f>SUM(E11:Q11)</f>
        <v>11</v>
      </c>
      <c r="S11" s="251"/>
      <c r="AA11" s="46" t="str">
        <f>IF(OR(D17="",D18="",T16="",T17="",T18="",T19="",T20="",T21="",T22="",T25=""),"yes","")</f>
        <v/>
      </c>
    </row>
    <row r="12" spans="1:27" ht="13.5" thickBot="1" x14ac:dyDescent="0.25">
      <c r="B12" t="s">
        <v>297</v>
      </c>
      <c r="E12" s="794"/>
      <c r="F12" s="794"/>
      <c r="G12" s="794"/>
      <c r="H12" s="794"/>
      <c r="I12" s="794"/>
      <c r="J12" s="794"/>
      <c r="K12" s="794"/>
      <c r="L12" s="794"/>
      <c r="M12" s="794"/>
      <c r="N12" s="794"/>
      <c r="O12" s="794"/>
      <c r="P12" s="794"/>
      <c r="Q12" s="794"/>
      <c r="R12" s="794"/>
      <c r="S12" s="251" t="s">
        <v>31</v>
      </c>
      <c r="AA12" s="46" t="str">
        <f>IF(AND(AA8="",AA9="",AA11=""),"","yes")</f>
        <v/>
      </c>
    </row>
    <row r="13" spans="1:27" ht="16.5" customHeight="1" thickTop="1" x14ac:dyDescent="0.2">
      <c r="AA13" s="46"/>
    </row>
    <row r="14" spans="1:27" ht="12.75" customHeight="1" x14ac:dyDescent="0.2">
      <c r="A14" s="795" t="s">
        <v>298</v>
      </c>
      <c r="B14" s="795"/>
      <c r="C14" s="795"/>
      <c r="D14" s="795"/>
      <c r="E14" s="795"/>
      <c r="G14" s="252"/>
      <c r="M14">
        <f>[3]!SEIP1071P260F2100</f>
        <v>0</v>
      </c>
      <c r="AA14" s="46"/>
    </row>
    <row r="15" spans="1:27" ht="38.25" customHeight="1" x14ac:dyDescent="0.2">
      <c r="A15" s="219"/>
      <c r="B15" s="797" t="s">
        <v>299</v>
      </c>
      <c r="C15" s="797"/>
      <c r="D15" s="797"/>
      <c r="E15" s="797"/>
      <c r="G15" s="253"/>
      <c r="K15" s="586" t="s">
        <v>300</v>
      </c>
      <c r="L15" s="586"/>
      <c r="M15" s="586"/>
      <c r="N15" s="586"/>
      <c r="O15" s="586"/>
      <c r="P15" s="586"/>
      <c r="Q15" s="586"/>
      <c r="R15" s="586"/>
      <c r="S15" s="254" t="s">
        <v>301</v>
      </c>
      <c r="T15" s="255" t="s">
        <v>302</v>
      </c>
      <c r="AA15" s="46"/>
    </row>
    <row r="16" spans="1:27" ht="12.75" customHeight="1" x14ac:dyDescent="0.2">
      <c r="B16" s="617" t="s">
        <v>303</v>
      </c>
      <c r="K16" s="62" t="s">
        <v>24</v>
      </c>
      <c r="L16" s="795" t="s">
        <v>304</v>
      </c>
      <c r="M16" s="795"/>
      <c r="N16" s="795"/>
      <c r="O16" s="795"/>
      <c r="P16" s="795"/>
      <c r="S16" s="596">
        <f>'[3]Page 2'!$N$5</f>
        <v>150034</v>
      </c>
      <c r="T16" s="49">
        <v>168080</v>
      </c>
      <c r="U16" s="251" t="s">
        <v>24</v>
      </c>
    </row>
    <row r="17" spans="1:21" ht="12.75" customHeight="1" x14ac:dyDescent="0.2">
      <c r="B17" t="s">
        <v>305</v>
      </c>
      <c r="C17" s="3" t="s">
        <v>16</v>
      </c>
      <c r="D17" s="22">
        <v>4568</v>
      </c>
      <c r="K17" s="62" t="s">
        <v>26</v>
      </c>
      <c r="L17" s="795" t="s">
        <v>306</v>
      </c>
      <c r="M17" s="795"/>
      <c r="N17" s="795"/>
      <c r="O17" s="178"/>
      <c r="S17" s="596">
        <f>[3]!P200GiftedEducation</f>
        <v>0</v>
      </c>
      <c r="T17" s="49">
        <v>4568</v>
      </c>
      <c r="U17" s="251" t="s">
        <v>26</v>
      </c>
    </row>
    <row r="18" spans="1:21" ht="12.75" customHeight="1" x14ac:dyDescent="0.2">
      <c r="B18" s="251" t="s">
        <v>307</v>
      </c>
      <c r="C18" s="3" t="s">
        <v>16</v>
      </c>
      <c r="D18" s="23">
        <v>0</v>
      </c>
      <c r="K18" s="62" t="s">
        <v>28</v>
      </c>
      <c r="L18" t="s">
        <v>308</v>
      </c>
      <c r="S18" s="600">
        <f>[3]!P200ELLIncrementalCosts</f>
        <v>0</v>
      </c>
      <c r="T18" s="49">
        <v>0</v>
      </c>
      <c r="U18" s="251" t="s">
        <v>28</v>
      </c>
    </row>
    <row r="19" spans="1:21" ht="12.75" customHeight="1" thickBot="1" x14ac:dyDescent="0.25">
      <c r="B19" t="s">
        <v>309</v>
      </c>
      <c r="C19" s="3" t="s">
        <v>16</v>
      </c>
      <c r="D19" s="256">
        <f>SUM(D17:D18)</f>
        <v>4568</v>
      </c>
      <c r="E19" s="178"/>
      <c r="K19" s="62" t="s">
        <v>31</v>
      </c>
      <c r="L19" t="s">
        <v>310</v>
      </c>
      <c r="S19" s="596">
        <f>[3]!P200ELLCompensatoryInstruction</f>
        <v>0</v>
      </c>
      <c r="T19" s="49">
        <v>0</v>
      </c>
      <c r="U19" s="251" t="s">
        <v>31</v>
      </c>
    </row>
    <row r="20" spans="1:21" ht="12.75" customHeight="1" thickTop="1" x14ac:dyDescent="0.2">
      <c r="K20" s="62" t="s">
        <v>33</v>
      </c>
      <c r="L20" t="s">
        <v>311</v>
      </c>
      <c r="S20" s="596">
        <f>[3]!P200RemedialEducation</f>
        <v>0</v>
      </c>
      <c r="T20" s="49">
        <v>0</v>
      </c>
      <c r="U20" s="251" t="s">
        <v>33</v>
      </c>
    </row>
    <row r="21" spans="1:21" x14ac:dyDescent="0.2">
      <c r="K21" s="62" t="s">
        <v>35</v>
      </c>
      <c r="L21" t="s">
        <v>312</v>
      </c>
      <c r="S21" s="596">
        <f>[3]!P200VocationalandTechnologicalEd</f>
        <v>0</v>
      </c>
      <c r="T21" s="49">
        <v>0</v>
      </c>
      <c r="U21" s="251" t="s">
        <v>35</v>
      </c>
    </row>
    <row r="22" spans="1:21" ht="12" customHeight="1" thickBot="1" x14ac:dyDescent="0.25">
      <c r="K22" s="62" t="s">
        <v>37</v>
      </c>
      <c r="L22" t="s">
        <v>313</v>
      </c>
      <c r="S22" s="226">
        <f>[3]!P200CareerEducation</f>
        <v>0</v>
      </c>
      <c r="T22" s="52">
        <v>0</v>
      </c>
      <c r="U22" s="251" t="s">
        <v>37</v>
      </c>
    </row>
    <row r="23" spans="1:21" ht="12.75" customHeight="1" thickBot="1" x14ac:dyDescent="0.25">
      <c r="K23" s="62" t="s">
        <v>39</v>
      </c>
      <c r="L23" s="796" t="s">
        <v>314</v>
      </c>
      <c r="M23" s="796"/>
      <c r="N23" s="796"/>
      <c r="O23" s="796"/>
      <c r="P23" s="796"/>
      <c r="Q23" s="4"/>
      <c r="S23" s="257">
        <f>SUM(S16:S22)</f>
        <v>150034</v>
      </c>
      <c r="T23" s="257">
        <f>SUM(T16:T22)</f>
        <v>172648</v>
      </c>
      <c r="U23" s="251" t="s">
        <v>39</v>
      </c>
    </row>
    <row r="24" spans="1:21" ht="12.75" customHeight="1" thickTop="1" x14ac:dyDescent="0.2">
      <c r="A24" s="3"/>
      <c r="B24" s="725"/>
      <c r="C24" s="725"/>
      <c r="D24" s="725"/>
      <c r="E24" s="725"/>
      <c r="F24" s="725"/>
      <c r="G24" s="725"/>
      <c r="H24" s="725"/>
      <c r="K24" s="62"/>
      <c r="U24" s="251"/>
    </row>
    <row r="25" spans="1:21" ht="12.75" customHeight="1" x14ac:dyDescent="0.2">
      <c r="A25" s="3"/>
      <c r="B25" s="725"/>
      <c r="C25" s="725"/>
      <c r="D25" s="725"/>
      <c r="E25" s="725"/>
      <c r="F25" s="725"/>
      <c r="G25" s="725"/>
      <c r="H25" s="725"/>
      <c r="K25" s="62" t="s">
        <v>41</v>
      </c>
      <c r="L25" s="800" t="s">
        <v>315</v>
      </c>
      <c r="M25" s="800"/>
      <c r="N25" s="800"/>
      <c r="O25" s="800"/>
      <c r="P25" s="800"/>
      <c r="Q25" s="800"/>
      <c r="R25" s="801"/>
      <c r="S25" s="798">
        <f>'[3]Page 2'!$N$14</f>
        <v>0</v>
      </c>
      <c r="T25" s="802">
        <v>28104</v>
      </c>
      <c r="U25" s="251" t="s">
        <v>41</v>
      </c>
    </row>
    <row r="26" spans="1:21" ht="19.5" customHeight="1" thickBot="1" x14ac:dyDescent="0.25">
      <c r="A26" s="62"/>
      <c r="L26" s="800"/>
      <c r="M26" s="800"/>
      <c r="N26" s="800"/>
      <c r="O26" s="800"/>
      <c r="P26" s="800"/>
      <c r="Q26" s="800"/>
      <c r="R26" s="801"/>
      <c r="S26" s="799"/>
      <c r="T26" s="803"/>
    </row>
    <row r="31" spans="1:21" ht="12.75" customHeight="1" x14ac:dyDescent="0.2">
      <c r="B31" s="24"/>
      <c r="C31" s="24"/>
    </row>
  </sheetData>
  <sheetProtection formatCells="0" formatColumns="0" formatRows="0"/>
  <mergeCells count="27">
    <mergeCell ref="S25:S26"/>
    <mergeCell ref="L25:R26"/>
    <mergeCell ref="T25:T26"/>
    <mergeCell ref="Q11:Q12"/>
    <mergeCell ref="R11:R12"/>
    <mergeCell ref="B24:H24"/>
    <mergeCell ref="B25:H25"/>
    <mergeCell ref="L17:N17"/>
    <mergeCell ref="L23:P23"/>
    <mergeCell ref="A14:E14"/>
    <mergeCell ref="B15:E15"/>
    <mergeCell ref="L16:P16"/>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topLeftCell="A4" zoomScaleNormal="100" workbookViewId="0">
      <selection activeCell="J39" sqref="J39"/>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5" t="s">
        <v>0</v>
      </c>
      <c r="B1" s="730" t="str">
        <f>'Cover Page'!D1</f>
        <v>ASU Preparatory Academy - Phoenix Middle School</v>
      </c>
      <c r="C1" s="730"/>
      <c r="D1" s="730"/>
      <c r="G1" s="57" t="s">
        <v>1</v>
      </c>
      <c r="H1" s="730" t="str">
        <f>'Cover Page'!M1</f>
        <v>Maricopa</v>
      </c>
      <c r="I1" s="730"/>
      <c r="M1" s="57" t="s">
        <v>2</v>
      </c>
      <c r="N1" s="615" t="str">
        <f>'Cover Page'!R1</f>
        <v>078250000</v>
      </c>
    </row>
    <row r="3" spans="1:29" x14ac:dyDescent="0.2">
      <c r="A3" s="804" t="s">
        <v>316</v>
      </c>
      <c r="B3" s="804"/>
      <c r="C3" s="804"/>
      <c r="D3" s="805"/>
      <c r="E3" s="620" t="s">
        <v>193</v>
      </c>
      <c r="F3" s="680" t="s">
        <v>317</v>
      </c>
      <c r="G3" s="620"/>
      <c r="H3" s="620" t="s">
        <v>318</v>
      </c>
      <c r="I3" s="620"/>
      <c r="J3" s="185"/>
      <c r="K3" s="184"/>
      <c r="L3" s="184" t="s">
        <v>319</v>
      </c>
      <c r="M3" s="620" t="s">
        <v>320</v>
      </c>
      <c r="N3" s="620" t="s">
        <v>196</v>
      </c>
    </row>
    <row r="4" spans="1:29" x14ac:dyDescent="0.2">
      <c r="E4" s="78" t="s">
        <v>199</v>
      </c>
      <c r="F4" s="681" t="s">
        <v>193</v>
      </c>
      <c r="G4" s="78" t="s">
        <v>21</v>
      </c>
      <c r="H4" s="78" t="s">
        <v>321</v>
      </c>
      <c r="I4" s="78" t="s">
        <v>322</v>
      </c>
      <c r="J4" s="806" t="s">
        <v>92</v>
      </c>
      <c r="K4" s="807"/>
      <c r="L4" s="258" t="s">
        <v>323</v>
      </c>
      <c r="M4" s="78" t="s">
        <v>324</v>
      </c>
      <c r="N4" s="78" t="s">
        <v>199</v>
      </c>
      <c r="AA4" s="594"/>
      <c r="AB4" s="46"/>
      <c r="AC4" s="46"/>
    </row>
    <row r="5" spans="1:29" x14ac:dyDescent="0.2">
      <c r="A5" s="595" t="s">
        <v>325</v>
      </c>
      <c r="E5" s="83" t="s">
        <v>102</v>
      </c>
      <c r="F5" s="682" t="s">
        <v>494</v>
      </c>
      <c r="G5" s="83" t="s">
        <v>102</v>
      </c>
      <c r="H5" s="83" t="s">
        <v>102</v>
      </c>
      <c r="I5" s="83" t="s">
        <v>102</v>
      </c>
      <c r="J5" s="631" t="s">
        <v>101</v>
      </c>
      <c r="K5" s="631" t="s">
        <v>23</v>
      </c>
      <c r="L5" s="83" t="s">
        <v>326</v>
      </c>
      <c r="M5" s="83" t="s">
        <v>102</v>
      </c>
      <c r="N5" s="83" t="s">
        <v>102</v>
      </c>
      <c r="T5" s="594"/>
      <c r="AB5" s="46"/>
      <c r="AC5" s="46"/>
    </row>
    <row r="6" spans="1:29" x14ac:dyDescent="0.2">
      <c r="A6" t="s">
        <v>327</v>
      </c>
      <c r="D6" s="3" t="s">
        <v>24</v>
      </c>
      <c r="E6" s="596">
        <f>[4]!FP11001130EndBal</f>
        <v>-186</v>
      </c>
      <c r="F6" s="49">
        <v>-185</v>
      </c>
      <c r="G6" s="596">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200524</v>
      </c>
      <c r="H6" s="598">
        <f>SUMIFS('Accounting data'!$G$2:$G$37000,'Accounting data'!$H$2:$H$37000,"1100*",'Accounting data'!$K$2:$K$37000,"69*")</f>
        <v>14840</v>
      </c>
      <c r="I6" s="47">
        <v>0</v>
      </c>
      <c r="J6" s="596">
        <f>[3]!FP11001130TitleI</f>
        <v>136963</v>
      </c>
      <c r="K6" s="598">
        <f>SUMIFS('Accounting data'!$G$2:$G$37000,'Accounting data'!$H$2:$H$37000,"1100*",'Accounting data'!$K$2:$K$37000,"6*")-SUMIFS('Accounting data'!$G$2:$G$37000,'Accounting data'!$H$2:$H$37000,"1100*",'Accounting data'!$K$2:$K$37000,"69*")-SUMIFS('Accounting data'!$G$2:$G$37000,'Accounting data'!$H$2:$H$37000,"1100*",'Accounting data'!$K$2:$K$37000,"67*")</f>
        <v>185499</v>
      </c>
      <c r="L6" s="259"/>
      <c r="M6" s="47">
        <v>0</v>
      </c>
      <c r="N6" s="598">
        <f>SUM(IF(F6="",E6,F6)+G6-H6-I6-K6-M6)</f>
        <v>0</v>
      </c>
      <c r="O6" s="225" t="s">
        <v>24</v>
      </c>
      <c r="P6" s="24"/>
      <c r="AB6" s="46"/>
      <c r="AC6" s="46" t="str">
        <f>IF(OR(I6="",I7="",I8="",I9="",I10="",I11="",I12="",I13="",I14="",I15="",I16="",I17="",I18="",I19="",I20="",I21="",I22=""),"yes","")</f>
        <v/>
      </c>
    </row>
    <row r="7" spans="1:29" x14ac:dyDescent="0.2">
      <c r="A7" t="s">
        <v>328</v>
      </c>
      <c r="D7" s="3" t="s">
        <v>26</v>
      </c>
      <c r="E7" s="596">
        <f>[4]!FP11401150EndBal</f>
        <v>0</v>
      </c>
      <c r="F7" s="49">
        <v>0</v>
      </c>
      <c r="G7" s="596">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8">
        <f>SUMIFS('Accounting data'!$G$2:$G$37000,'Accounting data'!$H$2:$H$37000,"1140*",'Accounting data'!$K$2:$K$37000,"69*")</f>
        <v>0</v>
      </c>
      <c r="I7" s="47">
        <v>0</v>
      </c>
      <c r="J7" s="596">
        <f>[3]!FP11401150TitleII</f>
        <v>17631</v>
      </c>
      <c r="K7" s="598">
        <f>SUMIFS('Accounting data'!$G$2:$G$37000,'Accounting data'!$H$2:$H$37000,"1140*",'Accounting data'!$K$2:$K$37000,"6*")-SUMIFS('Accounting data'!$G$2:$G$37000,'Accounting data'!$H$2:$H$37000,"1140*",'Accounting data'!$K$2:$K$37000,"69*")-SUMIFS('Accounting data'!$G$2:$G$37000,'Accounting data'!$H$2:$H$37000,"1140*",'Accounting data'!$K$2:$K$37000,"67*")</f>
        <v>0</v>
      </c>
      <c r="L7" s="259"/>
      <c r="M7" s="47">
        <v>0</v>
      </c>
      <c r="N7" s="598">
        <f>SUM(IF(F7="",E7,F7)+G7-H7-I7-K7-M7)</f>
        <v>0</v>
      </c>
      <c r="O7" t="s">
        <v>26</v>
      </c>
      <c r="AB7" s="46"/>
      <c r="AC7" s="46" t="str">
        <f>IF(OR(M6="",M7="",M8="",M9="",M10="",M11="",M12="",M13="",M14="",M15="",M16="",M17="",M18="",M19="",M20="",M21="",M22=""),"yes","")</f>
        <v/>
      </c>
    </row>
    <row r="8" spans="1:29" x14ac:dyDescent="0.2">
      <c r="A8" t="s">
        <v>329</v>
      </c>
      <c r="D8" s="3" t="s">
        <v>28</v>
      </c>
      <c r="E8" s="596">
        <f>[4]!FP1160EndBal</f>
        <v>0</v>
      </c>
      <c r="F8" s="49">
        <v>0</v>
      </c>
      <c r="G8" s="596">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8">
        <f>SUMIFS('Accounting data'!$G$2:$G$37000,'Accounting data'!$H$2:$H$37000,"1160*",'Accounting data'!$K$2:$K$37000,"69*")</f>
        <v>0</v>
      </c>
      <c r="I8" s="47">
        <v>0</v>
      </c>
      <c r="J8" s="596">
        <f>[3]!FP1160TitleIV</f>
        <v>10513</v>
      </c>
      <c r="K8" s="598">
        <f>SUMIFS('Accounting data'!$G$2:$G$37000,'Accounting data'!$H$2:$H$37000,"1160*",'Accounting data'!$K$2:$K$37000,"6*")-SUMIFS('Accounting data'!$G$2:$G$37000,'Accounting data'!$H$2:$H$37000,"1160*",'Accounting data'!$K$2:$K$37000,"69*")-SUMIFS('Accounting data'!$G$2:$G$37000,'Accounting data'!$H$2:$H$37000,"1160*",'Accounting data'!$K$2:$K$37000,"67*")</f>
        <v>0</v>
      </c>
      <c r="L8" s="259"/>
      <c r="M8" s="47">
        <v>0</v>
      </c>
      <c r="N8" s="598">
        <f t="shared" ref="N8:N21" si="0">SUM(IF(F8="",E8,F8)+G8-H8-I8-K8-M8)</f>
        <v>0</v>
      </c>
      <c r="O8" t="s">
        <v>28</v>
      </c>
      <c r="AB8" s="46"/>
      <c r="AC8" s="46" t="str">
        <f>IF(OR(I25="",J25="",M25=""),"yes","")</f>
        <v>yes</v>
      </c>
    </row>
    <row r="9" spans="1:29" x14ac:dyDescent="0.2">
      <c r="A9" t="s">
        <v>330</v>
      </c>
      <c r="D9" s="3" t="s">
        <v>31</v>
      </c>
      <c r="E9" s="596">
        <f>[4]!FP11701180EndBal</f>
        <v>0</v>
      </c>
      <c r="F9" s="49">
        <v>0</v>
      </c>
      <c r="G9" s="596">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8">
        <f>SUMIFS('Accounting data'!$G$2:$G$37000,'Accounting data'!$H$2:$H$37000,"1170*",'Accounting data'!$K$2:$K$37000,"69*")</f>
        <v>0</v>
      </c>
      <c r="I9" s="47">
        <v>0</v>
      </c>
      <c r="J9" s="596">
        <f>[3]!FP11701180TitleV</f>
        <v>0</v>
      </c>
      <c r="K9" s="598">
        <f>SUMIFS('Accounting data'!$G$2:$G$37000,'Accounting data'!$H$2:$H$37000,"1170*",'Accounting data'!$K$2:$K$37000,"6*")-SUMIFS('Accounting data'!$G$2:$G$37000,'Accounting data'!$H$2:$H$37000,"1170*",'Accounting data'!$K$2:$K$37000,"69*")-SUMIFS('Accounting data'!$G$2:$G$37000,'Accounting data'!$H$2:$H$37000,"1170*",'Accounting data'!$K$2:$K$37000,"67*")</f>
        <v>0</v>
      </c>
      <c r="L9" s="259"/>
      <c r="M9" s="47">
        <v>0</v>
      </c>
      <c r="N9" s="598">
        <f t="shared" si="0"/>
        <v>0</v>
      </c>
      <c r="O9" t="s">
        <v>31</v>
      </c>
      <c r="AB9" s="46"/>
      <c r="AC9" s="46" t="str">
        <f>IF(OR(I28="",I29="",I30="",I31="",I32="",I33="",I34="",I35="",I36="",I37="",I38="",I39=""),"yes","")</f>
        <v/>
      </c>
    </row>
    <row r="10" spans="1:29" x14ac:dyDescent="0.2">
      <c r="A10" t="s">
        <v>331</v>
      </c>
      <c r="D10" s="3" t="s">
        <v>33</v>
      </c>
      <c r="E10" s="596">
        <f>[4]!FP1190EndBal</f>
        <v>130</v>
      </c>
      <c r="F10" s="49">
        <v>0</v>
      </c>
      <c r="G10" s="596">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5921</v>
      </c>
      <c r="H10" s="598">
        <f>SUMIFS('Accounting data'!$G$2:$G$37000,'Accounting data'!$H$2:$H$37000,"1190*",'Accounting data'!$K$2:$K$37000,"69*")</f>
        <v>0</v>
      </c>
      <c r="I10" s="47">
        <v>0</v>
      </c>
      <c r="J10" s="596">
        <f>[3]!FP1190TitleIII</f>
        <v>0</v>
      </c>
      <c r="K10" s="598">
        <f>SUMIFS('Accounting data'!$G$2:$G$37000,'Accounting data'!$H$2:$H$37000,"1190*",'Accounting data'!$K$2:$K$37000,"6*")-SUMIFS('Accounting data'!$G$2:$G$37000,'Accounting data'!$H$2:$H$37000,"1190*",'Accounting data'!$K$2:$K$37000,"69*")-SUMIFS('Accounting data'!$G$2:$G$37000,'Accounting data'!$H$2:$H$37000,"1190*",'Accounting data'!$K$2:$K$37000,"67*")</f>
        <v>5921</v>
      </c>
      <c r="L10" s="259"/>
      <c r="M10" s="47">
        <v>0</v>
      </c>
      <c r="N10" s="598">
        <f t="shared" si="0"/>
        <v>0</v>
      </c>
      <c r="O10" t="s">
        <v>33</v>
      </c>
      <c r="AB10" s="46"/>
      <c r="AC10" s="46" t="str">
        <f>IF(OR(M28="",M29="",M30="",M31="",M32="",M33="",M34="",M35="",M36="",M37="",M38="",M39=""),"yes","")</f>
        <v/>
      </c>
    </row>
    <row r="11" spans="1:29" x14ac:dyDescent="0.2">
      <c r="A11" t="s">
        <v>332</v>
      </c>
      <c r="D11" s="3" t="s">
        <v>35</v>
      </c>
      <c r="E11" s="596">
        <f>[4]!FP1200EndBal</f>
        <v>0</v>
      </c>
      <c r="F11" s="49">
        <v>0</v>
      </c>
      <c r="G11" s="596">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8">
        <f>SUMIFS('Accounting data'!$G$2:$G$37000,'Accounting data'!$H$2:$H$37000,"1200*",'Accounting data'!$K$2:$K$37000,"69*")</f>
        <v>0</v>
      </c>
      <c r="I11" s="47">
        <v>0</v>
      </c>
      <c r="J11" s="596">
        <f>[3]!FP1200TitleVII</f>
        <v>0</v>
      </c>
      <c r="K11" s="598">
        <f>SUMIFS('Accounting data'!$G$2:$G$37000,'Accounting data'!$H$2:$H$37000,"1200*",'Accounting data'!$K$2:$K$37000,"6*")-SUMIFS('Accounting data'!$G$2:$G$37000,'Accounting data'!$H$2:$H$37000,"1200*",'Accounting data'!$K$2:$K$37000,"69*")-SUMIFS('Accounting data'!$G$2:$G$37000,'Accounting data'!$H$2:$H$37000,"1200*",'Accounting data'!$K$2:$K$37000,"67*")</f>
        <v>0</v>
      </c>
      <c r="L11" s="259"/>
      <c r="M11" s="47">
        <v>0</v>
      </c>
      <c r="N11" s="598">
        <f t="shared" si="0"/>
        <v>0</v>
      </c>
      <c r="O11" t="s">
        <v>35</v>
      </c>
      <c r="AB11" s="46"/>
      <c r="AC11" s="46" t="str">
        <f>IF(AND(AC6="",AC8="",AC9="",AC7="",AC10=""),"","yes")</f>
        <v>yes</v>
      </c>
    </row>
    <row r="12" spans="1:29" x14ac:dyDescent="0.2">
      <c r="A12" t="s">
        <v>333</v>
      </c>
      <c r="D12" s="3" t="s">
        <v>37</v>
      </c>
      <c r="E12" s="596">
        <f>[4]!FP1210EndBal</f>
        <v>0</v>
      </c>
      <c r="F12" s="49">
        <v>0</v>
      </c>
      <c r="G12" s="596">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8">
        <f>SUMIFS('Accounting data'!$G$2:$G$37000,'Accounting data'!$H$2:$H$37000,"1210*",'Accounting data'!$K$2:$K$37000,"69*")</f>
        <v>0</v>
      </c>
      <c r="I12" s="47">
        <v>0</v>
      </c>
      <c r="J12" s="596">
        <f>[3]!FP1210TitleVI</f>
        <v>0</v>
      </c>
      <c r="K12" s="598">
        <f>SUMIFS('Accounting data'!$G$2:$G$37000,'Accounting data'!$H$2:$H$37000,"1210*",'Accounting data'!$K$2:$K$37000,"6*")-SUMIFS('Accounting data'!$G$2:$G$37000,'Accounting data'!$H$2:$H$37000,"1210*",'Accounting data'!$K$2:$K$37000,"69*")-SUMIFS('Accounting data'!$G$2:$G$37000,'Accounting data'!$H$2:$H$37000,"1210*",'Accounting data'!$K$2:$K$37000,"67*")</f>
        <v>0</v>
      </c>
      <c r="L12" s="259"/>
      <c r="M12" s="47">
        <v>0</v>
      </c>
      <c r="N12" s="598">
        <f t="shared" si="0"/>
        <v>0</v>
      </c>
      <c r="O12" t="s">
        <v>37</v>
      </c>
      <c r="AB12" s="46"/>
      <c r="AC12" s="46"/>
    </row>
    <row r="13" spans="1:29" x14ac:dyDescent="0.2">
      <c r="A13" t="s">
        <v>334</v>
      </c>
      <c r="D13" s="3" t="s">
        <v>39</v>
      </c>
      <c r="E13" s="596">
        <f>[4]!FP1220EndBal</f>
        <v>-3505</v>
      </c>
      <c r="F13" s="49">
        <v>0</v>
      </c>
      <c r="G13" s="596">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110181</v>
      </c>
      <c r="H13" s="596">
        <f>SUMIFS('Accounting data'!$G$2:$G$37000,'Accounting data'!$H$2:$H$37000,"122*",'Accounting data'!$K$2:$K$37000,"69*")</f>
        <v>4948</v>
      </c>
      <c r="I13" s="47">
        <v>0</v>
      </c>
      <c r="J13" s="596">
        <f>[3]!FP1220IDEA</f>
        <v>59519</v>
      </c>
      <c r="K13" s="598">
        <f>SUMIFS('Accounting data'!$G$2:$G$37000,'Accounting data'!$H$2:$H$37000,"122*",'Accounting data'!$K$2:$K$37000,"6*")-SUMIFS('Accounting data'!$G$2:$G$37000,'Accounting data'!$H$2:$H$37000,"122*",'Accounting data'!$K$2:$K$37000,"69*")-SUMIFS('Accounting data'!$G$2:$G$37000,'Accounting data'!$H$2:$H$37000,"122*",'Accounting data'!$K$2:$K$37000,"67*")</f>
        <v>105233</v>
      </c>
      <c r="L13" s="259"/>
      <c r="M13" s="47">
        <v>0</v>
      </c>
      <c r="N13" s="598">
        <f t="shared" si="0"/>
        <v>0</v>
      </c>
      <c r="O13" t="s">
        <v>39</v>
      </c>
      <c r="AB13" s="46"/>
      <c r="AC13" s="46"/>
    </row>
    <row r="14" spans="1:29" x14ac:dyDescent="0.2">
      <c r="A14" t="s">
        <v>335</v>
      </c>
      <c r="D14" s="3" t="s">
        <v>41</v>
      </c>
      <c r="E14" s="596">
        <f>[4]!FP1230EndBal</f>
        <v>0</v>
      </c>
      <c r="F14" s="49">
        <v>0</v>
      </c>
      <c r="G14" s="596">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98">
        <f>SUMIFS('Accounting data'!$G$2:$G$37000,'Accounting data'!$H$2:$H$37000,"1230*",'Accounting data'!$K$2:$K$37000,"69*")</f>
        <v>0</v>
      </c>
      <c r="I14" s="47">
        <v>0</v>
      </c>
      <c r="J14" s="596">
        <f>[3]!FP1230Johnson</f>
        <v>0</v>
      </c>
      <c r="K14" s="598">
        <f>SUMIFS('Accounting data'!$G$2:$G$37000,'Accounting data'!$H$2:$H$37000,"1230*",'Accounting data'!$K$2:$K$37000,"6*")-SUMIFS('Accounting data'!$G$2:$G$37000,'Accounting data'!$H$2:$H$37000,"1230*",'Accounting data'!$K$2:$K$37000,"69*")-SUMIFS('Accounting data'!$G$2:$G$37000,'Accounting data'!$H$2:$H$37000,"1230*",'Accounting data'!$K$2:$K$37000,"67*")</f>
        <v>0</v>
      </c>
      <c r="L14" s="259"/>
      <c r="M14" s="47">
        <v>0</v>
      </c>
      <c r="N14" s="598">
        <f t="shared" si="0"/>
        <v>0</v>
      </c>
      <c r="O14" t="s">
        <v>41</v>
      </c>
      <c r="AB14" s="46"/>
      <c r="AC14" s="46"/>
    </row>
    <row r="15" spans="1:29" x14ac:dyDescent="0.2">
      <c r="A15" t="s">
        <v>336</v>
      </c>
      <c r="D15" s="3" t="s">
        <v>43</v>
      </c>
      <c r="E15" s="596">
        <f>[4]!FP1240EndBal</f>
        <v>0</v>
      </c>
      <c r="F15" s="49">
        <v>0</v>
      </c>
      <c r="G15" s="596">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8">
        <f>SUMIFS('Accounting data'!$G$2:$G$37000,'Accounting data'!$H$2:$H$37000,"1240*",'Accounting data'!$K$2:$K$37000,"69*")</f>
        <v>0</v>
      </c>
      <c r="I15" s="47">
        <v>0</v>
      </c>
      <c r="J15" s="596">
        <f>[3]!FP1240WIA</f>
        <v>0</v>
      </c>
      <c r="K15" s="598">
        <f>SUMIFS('Accounting data'!$G$2:$G$37000,'Accounting data'!$H$2:$H$37000,"1240*",'Accounting data'!$K$2:$K$37000,"6*")-SUMIFS('Accounting data'!$G$2:$G$37000,'Accounting data'!$H$2:$H$37000,"1240*",'Accounting data'!$K$2:$K$37000,"69*")-SUMIFS('Accounting data'!$G$2:$G$37000,'Accounting data'!$H$2:$H$37000,"1240*",'Accounting data'!$K$2:$K$37000,"67*")</f>
        <v>0</v>
      </c>
      <c r="L15" s="259"/>
      <c r="M15" s="47">
        <v>0</v>
      </c>
      <c r="N15" s="598">
        <f t="shared" si="0"/>
        <v>0</v>
      </c>
      <c r="O15" t="s">
        <v>43</v>
      </c>
      <c r="AB15" s="46"/>
      <c r="AC15" s="46"/>
    </row>
    <row r="16" spans="1:29" x14ac:dyDescent="0.2">
      <c r="A16" t="s">
        <v>337</v>
      </c>
      <c r="D16" s="3" t="s">
        <v>45</v>
      </c>
      <c r="E16" s="596">
        <f>[4]!FP1250EndBal</f>
        <v>0</v>
      </c>
      <c r="F16" s="49">
        <v>0</v>
      </c>
      <c r="G16" s="596">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8">
        <f>SUMIFS('Accounting data'!$G$2:$G$37000,'Accounting data'!$H$2:$H$37000,"1250*",'Accounting data'!$K$2:$K$37000,"69*")</f>
        <v>0</v>
      </c>
      <c r="I16" s="47">
        <v>0</v>
      </c>
      <c r="J16" s="596">
        <f>[3]!FP1250AEA</f>
        <v>0</v>
      </c>
      <c r="K16" s="598">
        <f>SUMIFS('Accounting data'!$G$2:$G$37000,'Accounting data'!$H$2:$H$37000,"1250*",'Accounting data'!$K$2:$K$37000,"6*")-SUMIFS('Accounting data'!$G$2:$G$37000,'Accounting data'!$H$2:$H$37000,"1250*",'Accounting data'!$K$2:$K$37000,"69*")-SUMIFS('Accounting data'!$G$2:$G$37000,'Accounting data'!$H$2:$H$37000,"1250*",'Accounting data'!$K$2:$K$37000,"67*")</f>
        <v>0</v>
      </c>
      <c r="L16" s="259"/>
      <c r="M16" s="47">
        <v>0</v>
      </c>
      <c r="N16" s="598">
        <f t="shared" si="0"/>
        <v>0</v>
      </c>
      <c r="O16" t="s">
        <v>45</v>
      </c>
      <c r="AB16" s="46"/>
      <c r="AC16" s="46"/>
    </row>
    <row r="17" spans="1:29" x14ac:dyDescent="0.2">
      <c r="A17" t="s">
        <v>338</v>
      </c>
      <c r="D17" s="3" t="s">
        <v>47</v>
      </c>
      <c r="E17" s="596">
        <f>[4]!FP1260EndBal</f>
        <v>0</v>
      </c>
      <c r="F17" s="49">
        <v>0</v>
      </c>
      <c r="G17" s="596">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8">
        <f>SUMIFS('Accounting data'!$G$2:$G$37000,'Accounting data'!$H$2:$H$37000,"1260*",'Accounting data'!$K$2:$K$37000,"69*")</f>
        <v>0</v>
      </c>
      <c r="I17" s="47">
        <v>0</v>
      </c>
      <c r="J17" s="596">
        <f>[3]!FP12601270VocEd</f>
        <v>0</v>
      </c>
      <c r="K17" s="598">
        <f>SUMIFS('Accounting data'!$G$2:$G$37000,'Accounting data'!$H$2:$H$37000,"1260*",'Accounting data'!$K$2:$K$37000,"6*")-SUMIFS('Accounting data'!$G$2:$G$37000,'Accounting data'!$H$2:$H$37000,"1260*",'Accounting data'!$K$2:$K$37000,"69*")-SUMIFS('Accounting data'!$G$2:$G$37000,'Accounting data'!$H$2:$H$37000,"1260*",'Accounting data'!$K$2:$K$37000,"67*")</f>
        <v>0</v>
      </c>
      <c r="L17" s="259"/>
      <c r="M17" s="47">
        <v>0</v>
      </c>
      <c r="N17" s="598">
        <f t="shared" si="0"/>
        <v>0</v>
      </c>
      <c r="O17" t="s">
        <v>47</v>
      </c>
      <c r="AB17" s="46"/>
      <c r="AC17" s="46"/>
    </row>
    <row r="18" spans="1:29" x14ac:dyDescent="0.2">
      <c r="A18" t="s">
        <v>339</v>
      </c>
      <c r="D18" s="3" t="s">
        <v>49</v>
      </c>
      <c r="E18" s="596">
        <f>[4]!FP1280EndBal</f>
        <v>0</v>
      </c>
      <c r="F18" s="49">
        <v>0</v>
      </c>
      <c r="G18" s="596">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8">
        <f>SUMIFS('Accounting data'!$G$2:$G$37000,'Accounting data'!$H$2:$H$37000,"1280*",'Accounting data'!$K$2:$K$37000,"69*")</f>
        <v>0</v>
      </c>
      <c r="I18" s="47">
        <v>0</v>
      </c>
      <c r="J18" s="596">
        <f>[3]!FP1280TitleX</f>
        <v>0</v>
      </c>
      <c r="K18" s="598">
        <f>SUMIFS('Accounting data'!$G$2:$G$37000,'Accounting data'!$H$2:$H$37000,"1280*",'Accounting data'!$K$2:$K$37000,"6*")-SUMIFS('Accounting data'!$G$2:$G$37000,'Accounting data'!$H$2:$H$37000,"1280*",'Accounting data'!$K$2:$K$37000,"69*")-SUMIFS('Accounting data'!$G$2:$G$37000,'Accounting data'!$H$2:$H$37000,"1280*",'Accounting data'!$K$2:$K$37000,"67*")</f>
        <v>0</v>
      </c>
      <c r="L18" s="259"/>
      <c r="M18" s="47">
        <v>0</v>
      </c>
      <c r="N18" s="598">
        <f t="shared" si="0"/>
        <v>0</v>
      </c>
      <c r="O18" t="s">
        <v>49</v>
      </c>
      <c r="P18" s="594"/>
    </row>
    <row r="19" spans="1:29" x14ac:dyDescent="0.2">
      <c r="A19" t="s">
        <v>340</v>
      </c>
      <c r="D19" s="3" t="s">
        <v>51</v>
      </c>
      <c r="E19" s="596">
        <f>[4]!FP1290EndBal</f>
        <v>0</v>
      </c>
      <c r="F19" s="49">
        <v>0</v>
      </c>
      <c r="G19" s="596">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8">
        <f>SUMIFS('Accounting data'!$G$2:$G$37000,'Accounting data'!$H$2:$H$37000,"1290*",'Accounting data'!$K$2:$K$37000,"69*")</f>
        <v>0</v>
      </c>
      <c r="I19" s="47">
        <v>0</v>
      </c>
      <c r="J19" s="596">
        <f>[3]!FP1290Medicaid</f>
        <v>0</v>
      </c>
      <c r="K19" s="598">
        <f>SUMIFS('Accounting data'!$G$2:$G$37000,'Accounting data'!$H$2:$H$37000,"1290*",'Accounting data'!$K$2:$K$37000,"6*")-SUMIFS('Accounting data'!$G$2:$G$37000,'Accounting data'!$H$2:$H$37000,"1290*",'Accounting data'!$K$2:$K$37000,"69*")-SUMIFS('Accounting data'!$G$2:$G$37000,'Accounting data'!$H$2:$H$37000,"1290*",'Accounting data'!$K$2:$K$37000,"67*")</f>
        <v>0</v>
      </c>
      <c r="L19" s="259"/>
      <c r="M19" s="47">
        <v>0</v>
      </c>
      <c r="N19" s="598">
        <f t="shared" si="0"/>
        <v>0</v>
      </c>
      <c r="O19" t="s">
        <v>51</v>
      </c>
      <c r="P19" s="115"/>
      <c r="Q19" s="115"/>
      <c r="S19" s="24"/>
    </row>
    <row r="20" spans="1:29" x14ac:dyDescent="0.2">
      <c r="A20" t="s">
        <v>341</v>
      </c>
      <c r="D20" s="62" t="s">
        <v>53</v>
      </c>
      <c r="E20" s="596">
        <f>[4]!FP1300EndBal</f>
        <v>0</v>
      </c>
      <c r="F20" s="49">
        <v>0</v>
      </c>
      <c r="G20" s="596">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98">
        <f>SUMIFS('Accounting data'!$G$2:$G$37000,'Accounting data'!$H$2:$H$37000,"1300*",'Accounting data'!$K$2:$K$37000,"69*")</f>
        <v>0</v>
      </c>
      <c r="I20" s="47">
        <v>0</v>
      </c>
      <c r="J20" s="596">
        <f>[3]!FP1300Charter</f>
        <v>0</v>
      </c>
      <c r="K20" s="598">
        <f>SUMIFS('Accounting data'!$G$2:$G$37000,'Accounting data'!$H$2:$H$37000,"1300*",'Accounting data'!$K$2:$K$37000,"6*")-SUMIFS('Accounting data'!$G$2:$G$37000,'Accounting data'!$H$2:$H$37000,"1300*",'Accounting data'!$K$2:$K$37000,"69*")-SUMIFS('Accounting data'!$G$2:$G$37000,'Accounting data'!$H$2:$H$37000,"1300*",'Accounting data'!$K$2:$K$37000,"67*")</f>
        <v>0</v>
      </c>
      <c r="L20" s="259"/>
      <c r="M20" s="47">
        <v>0</v>
      </c>
      <c r="N20" s="598">
        <f t="shared" si="0"/>
        <v>0</v>
      </c>
      <c r="O20" s="251" t="s">
        <v>53</v>
      </c>
      <c r="P20" s="115"/>
      <c r="Q20" s="115"/>
      <c r="S20" s="24"/>
    </row>
    <row r="21" spans="1:29" x14ac:dyDescent="0.2">
      <c r="A21" s="219" t="s">
        <v>342</v>
      </c>
      <c r="B21" s="219"/>
      <c r="C21" s="219"/>
      <c r="D21" s="66" t="s">
        <v>55</v>
      </c>
      <c r="E21" s="596">
        <f>'[4]Page 8'!$M$21</f>
        <v>0</v>
      </c>
      <c r="F21" s="49">
        <v>0</v>
      </c>
      <c r="G21" s="596">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8">
        <f>SUMIFS('Accounting data'!$G$2:$G$37000,'Accounting data'!$H$2:$H$37000,"13XX*",'Accounting data'!$K$2:$K$37000,"69*")</f>
        <v>0</v>
      </c>
      <c r="I21" s="47">
        <v>0</v>
      </c>
      <c r="J21" s="596">
        <f>[3]!FP13__ImpactAid</f>
        <v>0</v>
      </c>
      <c r="K21" s="598">
        <f>SUMIFS('Accounting data'!$G$2:$G$37000,'Accounting data'!$H$2:$H$37000,"13XX*",'Accounting data'!$K$2:$K$37000,"6*")-SUMIFS('Accounting data'!$G$2:$G$37000,'Accounting data'!$H$2:$H$37000,"13XX*",'Accounting data'!$K$2:$K$37000,"69*")-SUMIFS('Accounting data'!$G$2:$G$37000,'Accounting data'!$H$2:$H$37000,"13XX*",'Accounting data'!$K$2:$K$37000,"67*")</f>
        <v>0</v>
      </c>
      <c r="L21" s="259"/>
      <c r="M21" s="47">
        <v>0</v>
      </c>
      <c r="N21" s="598">
        <f t="shared" si="0"/>
        <v>0</v>
      </c>
      <c r="O21" s="251" t="s">
        <v>55</v>
      </c>
      <c r="P21" s="115"/>
      <c r="Q21" s="115"/>
      <c r="S21" s="24"/>
    </row>
    <row r="22" spans="1:29" ht="13.5" thickBot="1" x14ac:dyDescent="0.25">
      <c r="A22" s="219" t="s">
        <v>343</v>
      </c>
      <c r="B22" s="219"/>
      <c r="C22" s="219"/>
      <c r="D22" s="62" t="s">
        <v>57</v>
      </c>
      <c r="E22" s="226">
        <f>[4]!FP13101399EndBal</f>
        <v>7626</v>
      </c>
      <c r="F22" s="52">
        <v>0</v>
      </c>
      <c r="G22" s="226">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572501</v>
      </c>
      <c r="H22" s="232">
        <f>SUMIFS('Accounting data'!$G$2:$G$37000,'Accounting data'!$H$2:$H$37000,"1310*",'Accounting data'!$K$2:$K$37000,"69*")</f>
        <v>114063</v>
      </c>
      <c r="I22" s="47">
        <v>0</v>
      </c>
      <c r="J22" s="226">
        <f>[3]!FP13101399Other</f>
        <v>334051</v>
      </c>
      <c r="K22" s="232">
        <f>SUMIFS('Accounting data'!$G$2:$G$37000,'Accounting data'!$H$2:$H$37000,"1310*",'Accounting data'!$K$2:$K$37000,"6*")-SUMIFS('Accounting data'!$G$2:$G$37000,'Accounting data'!$H$2:$H$37000,"1310*",'Accounting data'!$K$2:$K$37000,"69*")-SUMIFS('Accounting data'!$G$2:$G$37000,'Accounting data'!$H$2:$H$37000,"1310*",'Accounting data'!$K$2:$K$37000,"67*")</f>
        <v>458438</v>
      </c>
      <c r="L22" s="51">
        <v>0</v>
      </c>
      <c r="M22" s="47">
        <v>0</v>
      </c>
      <c r="N22" s="598">
        <f>SUM(IF(F22="",E22,F22)+G22-H22-I22-K22-M22-L22)</f>
        <v>0</v>
      </c>
      <c r="O22" s="251" t="s">
        <v>57</v>
      </c>
      <c r="P22" s="115"/>
      <c r="Q22" s="115"/>
      <c r="S22" s="24"/>
    </row>
    <row r="23" spans="1:29" ht="13.5" thickBot="1" x14ac:dyDescent="0.25">
      <c r="A23" t="s">
        <v>344</v>
      </c>
      <c r="D23" s="62" t="s">
        <v>59</v>
      </c>
      <c r="E23" s="227">
        <f t="shared" ref="E23:M23" si="1">SUM(E6:E22)</f>
        <v>4065</v>
      </c>
      <c r="F23" s="227" cm="1">
        <f t="array" ref="F23">SUM(IF(F6:F22="",E6:E22,F6:F22))</f>
        <v>-185</v>
      </c>
      <c r="G23" s="227">
        <f t="shared" si="1"/>
        <v>889127</v>
      </c>
      <c r="H23" s="227">
        <f t="shared" si="1"/>
        <v>133851</v>
      </c>
      <c r="I23" s="227">
        <f>SUM(I6:I22)</f>
        <v>0</v>
      </c>
      <c r="J23" s="227">
        <f>SUM(J6:J22)</f>
        <v>558677</v>
      </c>
      <c r="K23" s="227">
        <f t="shared" si="1"/>
        <v>755091</v>
      </c>
      <c r="L23" s="227">
        <f>SUM(L6:L22)</f>
        <v>0</v>
      </c>
      <c r="M23" s="227">
        <f t="shared" si="1"/>
        <v>0</v>
      </c>
      <c r="N23" s="598">
        <f>SUM(IF(F23="",E23,F23)+G23-H23-I23-K23-M23)</f>
        <v>0</v>
      </c>
      <c r="O23" s="251" t="s">
        <v>59</v>
      </c>
    </row>
    <row r="24" spans="1:29" ht="13.5" thickTop="1" x14ac:dyDescent="0.2">
      <c r="D24" s="62"/>
      <c r="E24" s="24"/>
      <c r="F24" s="24"/>
      <c r="G24" s="24"/>
      <c r="H24" s="24"/>
      <c r="I24" s="24"/>
      <c r="J24" s="24"/>
      <c r="K24" s="24"/>
      <c r="L24" s="24"/>
      <c r="M24" s="24"/>
      <c r="N24" s="24"/>
      <c r="O24" s="251"/>
    </row>
    <row r="25" spans="1:29" x14ac:dyDescent="0.2">
      <c r="A25" s="219" t="s">
        <v>345</v>
      </c>
      <c r="B25" s="219"/>
      <c r="C25" s="219"/>
      <c r="D25" s="62" t="s">
        <v>61</v>
      </c>
      <c r="E25" s="596">
        <f>'[4]Page 8'!$M$25</f>
        <v>2123</v>
      </c>
      <c r="F25" s="49">
        <v>0</v>
      </c>
      <c r="G25" s="598">
        <f>Q25+Z25</f>
        <v>615881</v>
      </c>
      <c r="H25" s="596">
        <f t="array" ref="H25">SUM(SUMIFS('Accounting data'!$G$2:$G$37000,'Accounting data'!$H$2:$H$37000,{"1310-1399-COVID-19*","1227*","1228*"},'Accounting data'!$K$2:$K$37000,"69*"))</f>
        <v>114063</v>
      </c>
      <c r="I25" s="49">
        <v>0</v>
      </c>
      <c r="J25" s="101"/>
      <c r="K25" s="598">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501818</v>
      </c>
      <c r="L25" s="47">
        <v>0</v>
      </c>
      <c r="M25" s="49">
        <v>0</v>
      </c>
      <c r="N25" s="598">
        <f>SUM(IF(F25="",E25,F25)+G25-H25-I25-K25-M25-L25)</f>
        <v>0</v>
      </c>
      <c r="O25" s="62" t="s">
        <v>61</v>
      </c>
      <c r="Q25" s="46">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572500.69999999995</v>
      </c>
      <c r="R25" s="46"/>
      <c r="S25" s="46"/>
      <c r="T25" s="46"/>
      <c r="U25" s="46"/>
      <c r="V25" s="46"/>
      <c r="W25" s="46"/>
      <c r="X25" s="46"/>
      <c r="Y25" s="46"/>
      <c r="Z25" s="46">
        <f t="array" ref="Z25">-SUM(SUMIFS('Accounting data'!$G$2:$G$37000,'Accounting data'!$H$2:$H$37000,"1228*",'Accounting data'!$K$2:$K$37000,{"1*","2*","3*","4*","Other*"}))</f>
        <v>43380</v>
      </c>
    </row>
    <row r="26" spans="1:29" x14ac:dyDescent="0.2">
      <c r="D26" s="62"/>
      <c r="E26" s="24"/>
      <c r="F26" s="24"/>
      <c r="G26" s="24"/>
      <c r="H26" s="24"/>
      <c r="I26" s="24"/>
      <c r="J26" s="24"/>
      <c r="K26" s="24"/>
      <c r="L26" s="24"/>
      <c r="M26" s="24"/>
      <c r="N26" s="24"/>
      <c r="O26" s="251"/>
    </row>
    <row r="27" spans="1:29" x14ac:dyDescent="0.2">
      <c r="A27" s="595" t="s">
        <v>346</v>
      </c>
      <c r="E27" s="222"/>
      <c r="F27" s="222"/>
      <c r="G27" s="222"/>
      <c r="H27" s="222"/>
      <c r="I27" s="222"/>
      <c r="J27" s="222"/>
      <c r="K27" s="222"/>
      <c r="L27" s="222"/>
      <c r="M27" s="222"/>
      <c r="N27" s="222"/>
    </row>
    <row r="28" spans="1:29" x14ac:dyDescent="0.2">
      <c r="A28" t="s">
        <v>347</v>
      </c>
      <c r="D28" s="62" t="s">
        <v>63</v>
      </c>
      <c r="E28" s="596">
        <f>[4]!StP1400EndBal</f>
        <v>0</v>
      </c>
      <c r="F28" s="49">
        <v>0</v>
      </c>
      <c r="G28" s="596">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9"/>
      <c r="I28" s="47">
        <v>0</v>
      </c>
      <c r="J28" s="596">
        <f>[3]!SP1400VocEd</f>
        <v>0</v>
      </c>
      <c r="K28" s="598">
        <f>SUMIFS('Accounting data'!$G$2:$G$37000,'Accounting data'!$H$2:$H$37000,"1400*",'Accounting data'!$K$2:$K$37000,"6*")-SUMIFS('Accounting data'!$G$2:$G$37000,'Accounting data'!$H$2:$H$37000,"1400*",'Accounting data'!$K$2:$K$37000,"69*")-SUMIFS('Accounting data'!$G$2:$G$37000,'Accounting data'!$H$2:$H$37000,"1400*",'Accounting data'!$K$2:$K$37000,"67*")</f>
        <v>0</v>
      </c>
      <c r="L28" s="47">
        <v>0</v>
      </c>
      <c r="M28" s="47">
        <v>0</v>
      </c>
      <c r="N28" s="598">
        <f>SUM(IF(F28="",E28,F28)+G28-H28-I28-K28-L28-M28)</f>
        <v>0</v>
      </c>
      <c r="O28" s="62" t="s">
        <v>63</v>
      </c>
    </row>
    <row r="29" spans="1:29" x14ac:dyDescent="0.2">
      <c r="A29" t="s">
        <v>348</v>
      </c>
      <c r="D29" s="62" t="s">
        <v>65</v>
      </c>
      <c r="E29" s="596">
        <f>[4]!StP1410EndBal</f>
        <v>0</v>
      </c>
      <c r="F29" s="49">
        <v>0</v>
      </c>
      <c r="G29" s="596">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9"/>
      <c r="I29" s="47">
        <v>0</v>
      </c>
      <c r="J29" s="596">
        <f>[3]!SP1410EarlyChildhoodBlockGrant</f>
        <v>0</v>
      </c>
      <c r="K29" s="598">
        <f>SUMIFS('Accounting data'!$G$2:$G$37000,'Accounting data'!$H$2:$H$37000,"1410*",'Accounting data'!$K$2:$K$37000,"6*")-SUMIFS('Accounting data'!$G$2:$G$37000,'Accounting data'!$H$2:$H$37000,"1410*",'Accounting data'!$K$2:$K$37000,"69*")-SUMIFS('Accounting data'!$G$2:$G$37000,'Accounting data'!$H$2:$H$37000,"1410*",'Accounting data'!$K$2:$K$37000,"67*")</f>
        <v>0</v>
      </c>
      <c r="L29" s="47">
        <v>0</v>
      </c>
      <c r="M29" s="47">
        <v>0</v>
      </c>
      <c r="N29" s="598">
        <f t="shared" ref="N29:N39" si="2">SUM(IF(F29="",E29,F29)+G29-H29-I29-K29-L29-M29)</f>
        <v>0</v>
      </c>
      <c r="O29" s="62" t="s">
        <v>65</v>
      </c>
    </row>
    <row r="30" spans="1:29" x14ac:dyDescent="0.2">
      <c r="A30" t="s">
        <v>349</v>
      </c>
      <c r="D30" s="62" t="s">
        <v>67</v>
      </c>
      <c r="E30" s="596">
        <f>[4]!StP1420EndBal</f>
        <v>0</v>
      </c>
      <c r="F30" s="49">
        <v>0</v>
      </c>
      <c r="G30" s="596">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9"/>
      <c r="I30" s="47">
        <v>0</v>
      </c>
      <c r="J30" s="596">
        <f>[3]!FP1420ExtendedSchool</f>
        <v>0</v>
      </c>
      <c r="K30" s="598">
        <f>SUMIFS('Accounting data'!$G$2:$G$37000,'Accounting data'!$H$2:$H$37000,"1420*",'Accounting data'!$K$2:$K$37000,"6*")-SUMIFS('Accounting data'!$G$2:$G$37000,'Accounting data'!$H$2:$H$37000,"1420*",'Accounting data'!$K$2:$K$37000,"69*")-SUMIFS('Accounting data'!$G$2:$G$37000,'Accounting data'!$H$2:$H$37000,"1420*",'Accounting data'!$K$2:$K$37000,"67*")</f>
        <v>0</v>
      </c>
      <c r="L30" s="47">
        <v>0</v>
      </c>
      <c r="M30" s="47">
        <v>0</v>
      </c>
      <c r="N30" s="598">
        <f t="shared" si="2"/>
        <v>0</v>
      </c>
      <c r="O30" s="62" t="s">
        <v>67</v>
      </c>
    </row>
    <row r="31" spans="1:29" x14ac:dyDescent="0.2">
      <c r="A31" t="s">
        <v>350</v>
      </c>
      <c r="D31" s="62" t="s">
        <v>69</v>
      </c>
      <c r="E31" s="596">
        <f>[4]!StP1425EndBal</f>
        <v>0</v>
      </c>
      <c r="F31" s="49">
        <v>0</v>
      </c>
      <c r="G31" s="596">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9"/>
      <c r="I31" s="47">
        <v>0</v>
      </c>
      <c r="J31" s="596">
        <f>[3]!SP1425AdultBasicEd</f>
        <v>0</v>
      </c>
      <c r="K31" s="598">
        <f>SUMIFS('Accounting data'!$G$2:$G$37000,'Accounting data'!$H$2:$H$37000,"1425*",'Accounting data'!$K$2:$K$37000,"6*")-SUMIFS('Accounting data'!$G$2:$G$37000,'Accounting data'!$H$2:$H$37000,"1425*",'Accounting data'!$K$2:$K$37000,"69*")-SUMIFS('Accounting data'!$G$2:$G$37000,'Accounting data'!$H$2:$H$37000,"1425*",'Accounting data'!$K$2:$K$37000,"67*")</f>
        <v>0</v>
      </c>
      <c r="L31" s="47">
        <v>0</v>
      </c>
      <c r="M31" s="47">
        <v>0</v>
      </c>
      <c r="N31" s="598">
        <f t="shared" si="2"/>
        <v>0</v>
      </c>
      <c r="O31" s="62" t="s">
        <v>69</v>
      </c>
    </row>
    <row r="32" spans="1:29" x14ac:dyDescent="0.2">
      <c r="A32" t="s">
        <v>351</v>
      </c>
      <c r="D32" s="62" t="s">
        <v>71</v>
      </c>
      <c r="E32" s="596">
        <f>[4]!StP1430EndBal</f>
        <v>0</v>
      </c>
      <c r="F32" s="49">
        <v>0</v>
      </c>
      <c r="G32" s="596">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9"/>
      <c r="I32" s="47">
        <v>0</v>
      </c>
      <c r="J32" s="596">
        <f>[3]!SP1430ChemicalAbuse</f>
        <v>0</v>
      </c>
      <c r="K32" s="598">
        <f>SUMIFS('Accounting data'!$G$2:$G$37000,'Accounting data'!$H$2:$H$37000,"1430*",'Accounting data'!$K$2:$K$37000,"6*")-SUMIFS('Accounting data'!$G$2:$G$37000,'Accounting data'!$H$2:$H$37000,"1430*",'Accounting data'!$K$2:$K$37000,"69*")-SUMIFS('Accounting data'!$G$2:$G$37000,'Accounting data'!$H$2:$H$37000,"1430*",'Accounting data'!$K$2:$K$37000,"67*")</f>
        <v>0</v>
      </c>
      <c r="L32" s="47">
        <v>0</v>
      </c>
      <c r="M32" s="47">
        <v>0</v>
      </c>
      <c r="N32" s="598">
        <f t="shared" si="2"/>
        <v>0</v>
      </c>
      <c r="O32" s="62" t="s">
        <v>71</v>
      </c>
    </row>
    <row r="33" spans="1:15" ht="12.75" customHeight="1" x14ac:dyDescent="0.2">
      <c r="A33" t="s">
        <v>352</v>
      </c>
      <c r="D33" s="62" t="s">
        <v>73</v>
      </c>
      <c r="E33" s="596">
        <f>[4]!StP1435EndBal</f>
        <v>0</v>
      </c>
      <c r="F33" s="49">
        <v>0</v>
      </c>
      <c r="G33" s="596">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99"/>
      <c r="I33" s="47">
        <v>0</v>
      </c>
      <c r="J33" s="596">
        <f>[3]!SP1435AcademicContests</f>
        <v>0</v>
      </c>
      <c r="K33" s="598">
        <f>SUMIFS('Accounting data'!$G$2:$G$37000,'Accounting data'!$H$2:$H$37000,"1435*",'Accounting data'!$K$2:$K$37000,"6*")-SUMIFS('Accounting data'!$G$2:$G$37000,'Accounting data'!$H$2:$H$37000,"1435*",'Accounting data'!$K$2:$K$37000,"69*")-SUMIFS('Accounting data'!$G$2:$G$37000,'Accounting data'!$H$2:$H$37000,"1435*",'Accounting data'!$K$2:$K$37000,"67*")</f>
        <v>0</v>
      </c>
      <c r="L33" s="47">
        <v>0</v>
      </c>
      <c r="M33" s="47">
        <v>0</v>
      </c>
      <c r="N33" s="598">
        <f t="shared" si="2"/>
        <v>0</v>
      </c>
      <c r="O33" s="62" t="s">
        <v>73</v>
      </c>
    </row>
    <row r="34" spans="1:15" ht="12.75" customHeight="1" x14ac:dyDescent="0.2">
      <c r="A34" t="s">
        <v>353</v>
      </c>
      <c r="D34" s="62" t="s">
        <v>75</v>
      </c>
      <c r="E34" s="596">
        <f>[4]!StP1450EndBal</f>
        <v>0</v>
      </c>
      <c r="F34" s="49">
        <v>0</v>
      </c>
      <c r="G34" s="596">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9"/>
      <c r="I34" s="47">
        <v>0</v>
      </c>
      <c r="J34" s="596">
        <f>[3]!SP1450GiftedEd</f>
        <v>0</v>
      </c>
      <c r="K34" s="598">
        <f>SUMIFS('Accounting data'!$G$2:$G$37000,'Accounting data'!$H$2:$H$37000,"1450*",'Accounting data'!$K$2:$K$37000,"6*")-SUMIFS('Accounting data'!$G$2:$G$37000,'Accounting data'!$H$2:$H$37000,"1450*",'Accounting data'!$K$2:$K$37000,"69*")-SUMIFS('Accounting data'!$G$2:$G$37000,'Accounting data'!$H$2:$H$37000,"1450*",'Accounting data'!$K$2:$K$37000,"67*")</f>
        <v>0</v>
      </c>
      <c r="L34" s="47">
        <v>0</v>
      </c>
      <c r="M34" s="47">
        <v>0</v>
      </c>
      <c r="N34" s="598">
        <f t="shared" si="2"/>
        <v>0</v>
      </c>
      <c r="O34" s="62" t="s">
        <v>75</v>
      </c>
    </row>
    <row r="35" spans="1:15" ht="12.75" customHeight="1" x14ac:dyDescent="0.2">
      <c r="A35" t="s">
        <v>354</v>
      </c>
      <c r="D35" s="62" t="s">
        <v>77</v>
      </c>
      <c r="E35" s="596">
        <f>'[4]Page 8'!$M$35</f>
        <v>0</v>
      </c>
      <c r="F35" s="49">
        <v>0</v>
      </c>
      <c r="G35" s="596">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9"/>
      <c r="I35" s="47">
        <v>0</v>
      </c>
      <c r="J35" s="596">
        <f>+'[3]Page 2'!$E$31</f>
        <v>0</v>
      </c>
      <c r="K35" s="598">
        <f>SUMIFS('Accounting data'!$G$2:$G$37000,'Accounting data'!$H$2:$H$37000,"1456*",'Accounting data'!$K$2:$K$37000,"6*")-SUMIFS('Accounting data'!$G$2:$G$37000,'Accounting data'!$H$2:$H$37000,"1456*",'Accounting data'!$K$2:$K$37000,"69*")-SUMIFS('Accounting data'!$G$2:$G$37000,'Accounting data'!$H$2:$H$37000,"1456*",'Accounting data'!$K$2:$K$37000,"67*")</f>
        <v>0</v>
      </c>
      <c r="L35" s="47">
        <v>0</v>
      </c>
      <c r="M35" s="47">
        <v>0</v>
      </c>
      <c r="N35" s="598">
        <f t="shared" si="2"/>
        <v>0</v>
      </c>
      <c r="O35" s="62" t="s">
        <v>77</v>
      </c>
    </row>
    <row r="36" spans="1:15" x14ac:dyDescent="0.2">
      <c r="A36" t="s">
        <v>355</v>
      </c>
      <c r="D36" s="62" t="s">
        <v>79</v>
      </c>
      <c r="E36" s="596">
        <f>[4]!StP1460EndBal</f>
        <v>0</v>
      </c>
      <c r="F36" s="49">
        <v>0</v>
      </c>
      <c r="G36" s="596">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2"/>
      <c r="I36" s="47">
        <v>0</v>
      </c>
      <c r="J36" s="596">
        <f>[3]!SP1460EnvironmentalSpecialPlate</f>
        <v>0</v>
      </c>
      <c r="K36" s="598">
        <f>SUMIFS('Accounting data'!$G$2:$G$37000,'Accounting data'!$H$2:$H$37000,"1460*",'Accounting data'!$K$2:$K$37000,"6*")-SUMIFS('Accounting data'!$G$2:$G$37000,'Accounting data'!$H$2:$H$37000,"1460*",'Accounting data'!$K$2:$K$37000,"69*")-SUMIFS('Accounting data'!$G$2:$G$37000,'Accounting data'!$H$2:$H$37000,"1460*",'Accounting data'!$K$2:$K$37000,"67*")</f>
        <v>0</v>
      </c>
      <c r="L36" s="47">
        <v>0</v>
      </c>
      <c r="M36" s="47">
        <v>0</v>
      </c>
      <c r="N36" s="598">
        <f t="shared" si="2"/>
        <v>0</v>
      </c>
      <c r="O36" s="62" t="s">
        <v>81</v>
      </c>
    </row>
    <row r="37" spans="1:15" ht="12.75" customHeight="1" x14ac:dyDescent="0.2">
      <c r="A37" t="s">
        <v>356</v>
      </c>
      <c r="D37" s="62" t="s">
        <v>81</v>
      </c>
      <c r="E37" s="596">
        <f>[4]!StP1465EndBal</f>
        <v>0</v>
      </c>
      <c r="F37" s="49">
        <v>0</v>
      </c>
      <c r="G37" s="596">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0"/>
      <c r="I37" s="47">
        <v>0</v>
      </c>
      <c r="J37" s="596">
        <f>[3]!SP1465CharterSchool</f>
        <v>0</v>
      </c>
      <c r="K37" s="598">
        <f>SUMIFS('Accounting data'!$G$2:$G$37000,'Accounting data'!$H$2:$H$37000,"1465*",'Accounting data'!$K$2:$K$37000,"6*")-SUMIFS('Accounting data'!$G$2:$G$37000,'Accounting data'!$H$2:$H$37000,"1465*",'Accounting data'!$K$2:$K$37000,"69*")-SUMIFS('Accounting data'!$G$2:$G$37000,'Accounting data'!$H$2:$H$37000,"1465*",'Accounting data'!$K$2:$K$37000,"67*")</f>
        <v>0</v>
      </c>
      <c r="L37" s="47">
        <v>0</v>
      </c>
      <c r="M37" s="47">
        <v>0</v>
      </c>
      <c r="N37" s="598">
        <f t="shared" si="2"/>
        <v>0</v>
      </c>
      <c r="O37" s="62" t="s">
        <v>83</v>
      </c>
    </row>
    <row r="38" spans="1:15" ht="12.75" customHeight="1" x14ac:dyDescent="0.2">
      <c r="A38" s="261" t="s">
        <v>357</v>
      </c>
      <c r="B38" s="261"/>
      <c r="C38" s="261"/>
      <c r="D38" s="66" t="s">
        <v>83</v>
      </c>
      <c r="E38" s="596">
        <f t="array" ref="E38">[4]!StP14XXEndBal</f>
        <v>0</v>
      </c>
      <c r="F38" s="49">
        <v>0</v>
      </c>
      <c r="G38" s="596">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0"/>
      <c r="I38" s="47">
        <v>0</v>
      </c>
      <c r="J38" s="596">
        <f>'[3]Page 2'!$E$34</f>
        <v>0</v>
      </c>
      <c r="K38" s="598">
        <f>SUMIFS('Accounting data'!$G$2:$G$37000,'Accounting data'!$H$2:$H$37000,"14XX*",'Accounting data'!$K$2:$K$37000,"6*")-SUMIFS('Accounting data'!$G$2:$G$37000,'Accounting data'!$H$2:$H$37000,"14XX*",'Accounting data'!$K$2:$K$37000,"69*")-SUMIFS('Accounting data'!$G$2:$G$37000,'Accounting data'!$H$2:$H$37000,"14XX*",'Accounting data'!$K$2:$K$37000,"67*")</f>
        <v>0</v>
      </c>
      <c r="L38" s="47">
        <v>0</v>
      </c>
      <c r="M38" s="47">
        <v>0</v>
      </c>
      <c r="N38" s="598">
        <f t="shared" si="2"/>
        <v>0</v>
      </c>
      <c r="O38" s="66" t="s">
        <v>85</v>
      </c>
    </row>
    <row r="39" spans="1:15" ht="12.75" customHeight="1" thickBot="1" x14ac:dyDescent="0.25">
      <c r="A39" t="s">
        <v>358</v>
      </c>
      <c r="D39" s="62" t="s">
        <v>85</v>
      </c>
      <c r="E39" s="226">
        <f>[4]!StP14701499EndBal+'[4]Page 8'!$M$36</f>
        <v>0</v>
      </c>
      <c r="F39" s="49">
        <v>0</v>
      </c>
      <c r="G39" s="226">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35303</v>
      </c>
      <c r="H39" s="262"/>
      <c r="I39" s="47">
        <v>0</v>
      </c>
      <c r="J39" s="226">
        <f>[3]!SP14701499Other</f>
        <v>0</v>
      </c>
      <c r="K39" s="232">
        <f>SUMIFS('Accounting data'!$G$2:$G$37000,'Accounting data'!$H$2:$H$37000,"1470*",'Accounting data'!$K$2:$K$37000,"6*")-SUMIFS('Accounting data'!$G$2:$G$37000,'Accounting data'!$H$2:$H$37000,"1470*",'Accounting data'!$K$2:$K$37000,"69*")-SUMIFS('Accounting data'!$G$2:$G$37000,'Accounting data'!$H$2:$H$37000,"1470*",'Accounting data'!$K$2:$K$37000,"67*")</f>
        <v>35303</v>
      </c>
      <c r="L39" s="47">
        <v>0</v>
      </c>
      <c r="M39" s="47">
        <v>0</v>
      </c>
      <c r="N39" s="598">
        <f t="shared" si="2"/>
        <v>0</v>
      </c>
      <c r="O39" s="62" t="s">
        <v>86</v>
      </c>
    </row>
    <row r="40" spans="1:15" ht="13.5" thickBot="1" x14ac:dyDescent="0.25">
      <c r="A40" t="s">
        <v>1143</v>
      </c>
      <c r="D40" s="62" t="s">
        <v>86</v>
      </c>
      <c r="E40" s="227">
        <f>SUM(E28:E39)</f>
        <v>0</v>
      </c>
      <c r="F40" s="227" cm="1">
        <f t="array" ref="F40">SUM(IF(F28:F39="",E28:E39,F28:F39))</f>
        <v>0</v>
      </c>
      <c r="G40" s="227">
        <f>SUM(G28:G39)</f>
        <v>35303</v>
      </c>
      <c r="H40" s="263"/>
      <c r="I40" s="227">
        <f>SUM(I28:I39)</f>
        <v>0</v>
      </c>
      <c r="J40" s="227">
        <f>SUM(J28:J39)</f>
        <v>0</v>
      </c>
      <c r="K40" s="227">
        <f>SUM(K28:K39)</f>
        <v>35303</v>
      </c>
      <c r="L40" s="227">
        <f>SUM(L28:L39)</f>
        <v>0</v>
      </c>
      <c r="M40" s="227">
        <f>SUM(M28:M39)</f>
        <v>0</v>
      </c>
      <c r="N40" s="598">
        <f>SUM(IF(F40="",E40,F40)+G40-H40-I40-K40-L40-M40)</f>
        <v>0</v>
      </c>
      <c r="O40" s="62" t="s">
        <v>140</v>
      </c>
    </row>
    <row r="41" spans="1:15" ht="13.5" thickTop="1" x14ac:dyDescent="0.2">
      <c r="D41" s="264"/>
      <c r="E41" s="24"/>
      <c r="F41" s="24"/>
      <c r="G41" s="24"/>
      <c r="H41" s="24"/>
      <c r="I41" s="24"/>
      <c r="J41" s="24"/>
      <c r="K41" s="24"/>
      <c r="L41" s="24"/>
      <c r="M41" s="24"/>
      <c r="N41" s="24"/>
      <c r="O41" s="265"/>
    </row>
    <row r="42" spans="1:15" ht="13.5" thickBot="1" x14ac:dyDescent="0.25">
      <c r="A42" s="219" t="s">
        <v>1142</v>
      </c>
      <c r="B42" s="219"/>
      <c r="C42" s="219"/>
      <c r="D42" s="62" t="s">
        <v>140</v>
      </c>
      <c r="E42" s="266">
        <f>SUM(E23+E40)</f>
        <v>4065</v>
      </c>
      <c r="F42" s="266">
        <f>SUM(F23+F40)</f>
        <v>-185</v>
      </c>
      <c r="G42" s="266">
        <f>SUM(G23+G40)</f>
        <v>924430</v>
      </c>
      <c r="H42" s="604">
        <f>H23</f>
        <v>133851</v>
      </c>
      <c r="I42" s="266">
        <f>SUM(I23+I40)</f>
        <v>0</v>
      </c>
      <c r="J42" s="266">
        <f>SUM(J23+J40)</f>
        <v>558677</v>
      </c>
      <c r="K42" s="266">
        <f>SUM(K23+K40)</f>
        <v>790394</v>
      </c>
      <c r="L42" s="266">
        <f>SUM(L23+L40)</f>
        <v>0</v>
      </c>
      <c r="M42" s="266">
        <f>SUM(M23+M40)</f>
        <v>0</v>
      </c>
      <c r="N42" s="598">
        <f>SUM(IF(F42="",E42,F42)+G42-H42-I42-K42-L42-M42)</f>
        <v>0</v>
      </c>
      <c r="O42" s="62" t="s">
        <v>141</v>
      </c>
    </row>
    <row r="43" spans="1:15" ht="13.5" thickTop="1" x14ac:dyDescent="0.2"/>
    <row r="45" spans="1:15" ht="12" customHeight="1" x14ac:dyDescent="0.2">
      <c r="A45" s="594"/>
    </row>
  </sheetData>
  <sheetProtection formatCells="0" formatColumns="0" formatRows="0"/>
  <mergeCells count="4">
    <mergeCell ref="A3:D3"/>
    <mergeCell ref="B1:D1"/>
    <mergeCell ref="H1:I1"/>
    <mergeCell ref="J4:K4"/>
  </mergeCells>
  <conditionalFormatting sqref="F6:F22 F25 F28:F39">
    <cfRule type="expression" dxfId="44" priority="1" stopIfTrue="1">
      <formula>$F6=""</formula>
    </cfRule>
  </conditionalFormatting>
  <conditionalFormatting sqref="I6:I22 I28:I39">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schemas.microsoft.com/office/2006/documentManagement/types"/>
    <ds:schemaRef ds:uri="ffcdc2e4-c8f2-4bf7-ab1d-ea300bde3fd8"/>
    <ds:schemaRef ds:uri="http://schemas.microsoft.com/office/2006/metadata/properties"/>
    <ds:schemaRef ds:uri="8385876d-3ffd-449d-b709-a8df02b96ae7"/>
    <ds:schemaRef ds:uri="http://purl.org/dc/dcmitype/"/>
    <ds:schemaRef ds:uri="http://schemas.microsoft.com/office/infopath/2007/PartnerControl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2026-06-24T18:54:58Z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