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5 FBO\AFRs\AFR Copy for Website\"/>
    </mc:Choice>
  </mc:AlternateContent>
  <xr:revisionPtr revIDLastSave="0" documentId="8_{CF9BD1E4-0737-4FF4-974C-661C3D320A43}" xr6:coauthVersionLast="36" xr6:coauthVersionMax="36" xr10:uidLastSave="{00000000-0000-0000-0000-000000000000}"/>
  <workbookProtection workbookAlgorithmName="SHA-512" workbookHashValue="IUsat8xBPbdzfkodKkr5l+2SCFQhGw5qRBG+Xu9ZtAaxG5uVcuuZGb4E9jBi39jZIDZXhwmQkh8eaaITjbq5XA==" workbookSaltValue="P8a/TNN3eH3L3ETFPmT9iw==" workbookSpinCount="100000" lockStructure="1"/>
  <bookViews>
    <workbookView xWindow="28680" yWindow="-120" windowWidth="24240" windowHeight="13020" tabRatio="876" xr2:uid="{CA47FF2C-1399-47FC-8955-3958A5622C6E}"/>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Food Service" sheetId="26" r:id="rId12"/>
    <sheet name="Summary" sheetId="24" r:id="rId13"/>
    <sheet name="Reserve balance" sheetId="25" r:id="rId14"/>
    <sheet name="School listing" sheetId="20" r:id="rId15"/>
    <sheet name="Alerts" sheetId="17" r:id="rId16"/>
    <sheet name="Accounting data" sheetId="21" r:id="rId17"/>
    <sheet name="Calculations" sheetId="18" r:id="rId18"/>
    <sheet name="Instructions" sheetId="16" r:id="rId19"/>
  </sheets>
  <externalReferences>
    <externalReference r:id="rId20"/>
    <externalReference r:id="rId21"/>
  </externalReferences>
  <definedNames>
    <definedName name="_xlnm._FilterDatabase" localSheetId="16" hidden="1">'Accounting data'!$A$1:$L$4340</definedName>
    <definedName name="_xlnm._FilterDatabase" localSheetId="17" hidden="1">Calculations!$A$1:$E$1534</definedName>
    <definedName name="_xlnm._FilterDatabase" localSheetId="18" hidden="1">Instructions!$A$1:$D$141</definedName>
    <definedName name="_Order1" hidden="1">255</definedName>
    <definedName name="Account">'Accounting data'!$A$1</definedName>
    <definedName name="Accounting_Data_Tab">Instructions!$C$10</definedName>
    <definedName name="ActualTotalFederalAndStateProjects">'Page 8'!$K$42</definedName>
    <definedName name="ActualTotalInstImpExp">'Page 4'!$I$11</definedName>
    <definedName name="AddlInstrImprProjEndBal">'Page 4'!$F$20</definedName>
    <definedName name="AdjustedBeginningProjectBalance">Instructions!$C$127</definedName>
    <definedName name="ALaCarte">Instructions!$C$117</definedName>
    <definedName name="AllDisabilityClassifications">Instructions!$C$44</definedName>
    <definedName name="Allocation_to_Schools_2">"TextBox 1"</definedName>
    <definedName name="ArizonaIndustryCredentialsIncentive">Instructions!$C$24</definedName>
    <definedName name="AuditServices">Instructions!$C$27</definedName>
    <definedName name="AverageTeacherSalary">Instructions!$C$41</definedName>
    <definedName name="BegProjectBalances">Instructions!$C$126</definedName>
    <definedName name="Breakfasts">Instructions!$C$115</definedName>
    <definedName name="CapitalAcquisitions">Instructions!$C$28</definedName>
    <definedName name="CapitalAcquisitionsLine5">Instructions!$C$29</definedName>
    <definedName name="CashandInvestments">Instructions!$C$64</definedName>
    <definedName name="CashBal">'Page 6'!$F$6</definedName>
    <definedName name="CIP1072EndBal">'Page 5'!$P$48</definedName>
    <definedName name="ClssrmSitepg3">Instructions!$C$19</definedName>
    <definedName name="CSPEndBal">'Page 3'!$F$31</definedName>
    <definedName name="CSPlines122615">Instructions!$C$21</definedName>
    <definedName name="CSPlines4914">Instructions!$C$20</definedName>
    <definedName name="CSPPropertyPayments">Instructions!$C$22</definedName>
    <definedName name="CurrentExpensesByCategory">Instructions!$C$32</definedName>
    <definedName name="CurrentExpensesbyCategoryLines7and8">Instructions!$C$33</definedName>
    <definedName name="DebtService">Instructions!$C$53</definedName>
    <definedName name="District_Name">'School listing'!$A$1</definedName>
    <definedName name="EXPENSES">Instructions!$C$95</definedName>
    <definedName name="ExpensesPage2">Instructions!$C$17</definedName>
    <definedName name="FederalAndStateProjectsAdjustedBeginningProjectBalance">Instructions!$C$46</definedName>
    <definedName name="FederalAndStateProjectsPage2">Instructions!$C$18</definedName>
    <definedName name="FederalAndStateProjectsPage9">Instructions!$C$47</definedName>
    <definedName name="FederalAndStateProjectsPage9Line30">Instructions!$C$49</definedName>
    <definedName name="Food_Service_1600">Instructions!$C$13</definedName>
    <definedName name="FoodServiceGen">Instructions!$C$89</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Instructions!$C$34</definedName>
    <definedName name="GeneralInstructions">Instructions!$C$2</definedName>
    <definedName name="GeneralPage1">Instructions!$C$12</definedName>
    <definedName name="GeneralPage10">Instructions!$C$50</definedName>
    <definedName name="ImpactAidandOtherFederalProjects">Instructions!$C$48</definedName>
    <definedName name="InvestmentInCapitalAssets">Instructions!$C$30</definedName>
    <definedName name="InvestmentInCapitalAssetsLine5">Instructions!$C$31</definedName>
    <definedName name="LongandShortTermDebt">Instructions!$C$65</definedName>
    <definedName name="LunchesSuppers">Instructions!$C$116</definedName>
    <definedName name="NameCountyCTDSNumber">Instructions!$C$7</definedName>
    <definedName name="Page10DebtServiceDetail">Instructions!$C$75</definedName>
    <definedName name="Page10FY20to23Exp">Instructions!$C$85</definedName>
    <definedName name="Page10FY24Exp">Instructions!$C$86</definedName>
    <definedName name="Page10General">Instructions!$C$69</definedName>
    <definedName name="Page10OtherLine">Instructions!$C$70</definedName>
    <definedName name="Page10PPP">Instructions!$A$88</definedName>
    <definedName name="Page10projects">Instructions!$A$76</definedName>
    <definedName name="Page10ProjectsLine1">Instructions!$C$78</definedName>
    <definedName name="Page10ProjectsLine2">Instructions!$C$79</definedName>
    <definedName name="Page10ProjectsLine3">Instructions!$C$80</definedName>
    <definedName name="Page10ProjectsLine4">Instructions!$C$81</definedName>
    <definedName name="Page10ProjectsLine5">Instructions!$C$82</definedName>
    <definedName name="Page10ProjectsLine6">Instructions!$C$83</definedName>
    <definedName name="Page10PropertyDisbursement">Instructions!$C$73</definedName>
    <definedName name="Page10PropertyDisbursementDetail">Instructions!$C$74</definedName>
    <definedName name="Page10Remaining">Instructions!$C$87</definedName>
    <definedName name="Page10TechDetail">Instructions!$C$71</definedName>
    <definedName name="Page10TechDetailLine7">Instructions!$C$72</definedName>
    <definedName name="Page10TotalAward">Instructions!$C$84</definedName>
    <definedName name="Page3AdjBeginProjBal">Instructions!$C$23</definedName>
    <definedName name="Page4AdjBeginProjBal">Instructions!$C$25</definedName>
    <definedName name="Page5AdjBeginProjBal">Instructions!$C$26</definedName>
    <definedName name="_xlnm.Print_Area" localSheetId="16">'Accounting data'!$A:$L</definedName>
    <definedName name="_xlnm.Print_Area" localSheetId="15">Alerts!$A$1:$A$17</definedName>
    <definedName name="_xlnm.Print_Area" localSheetId="0">'Cover Page'!$A$1:$R$35</definedName>
    <definedName name="_xlnm.Print_Area" localSheetId="11">'Food Service'!$A$1:$P$43</definedName>
    <definedName name="_xlnm.Print_Area" localSheetId="18">Instructions!$A:$D</definedName>
    <definedName name="_xlnm.Print_Area" localSheetId="1">'Page 1'!$A$1:$N$43</definedName>
    <definedName name="_xlnm.Print_Area" localSheetId="10">'Page 10'!$A$1:$P$49</definedName>
    <definedName name="_xlnm.Print_Area" localSheetId="2">'Page 2'!$A$1:$M$48</definedName>
    <definedName name="_xlnm.Print_Area" localSheetId="3">'Page 3'!$A$1:$L$31</definedName>
    <definedName name="_xlnm.Print_Area" localSheetId="4">'Page 4'!$A$1:$M$30</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3">'Reserve balance'!$A$1:$M$46</definedName>
    <definedName name="_xlnm.Print_Area" localSheetId="12">Summary!$A$1:$V$24</definedName>
    <definedName name="PriorYearSalary">'Page 6'!$T$30</definedName>
    <definedName name="PropertyDisbursements">Instructions!$C$51</definedName>
    <definedName name="PropertyDisbursementsByType">Instructions!$C$52</definedName>
    <definedName name="ReserveBalSecA">Instructions!$C$128</definedName>
    <definedName name="ReserveBalSecAl1">Instructions!$C$129</definedName>
    <definedName name="ReserveBalSecAl2">Instructions!$C$130</definedName>
    <definedName name="ReserveBalSecAl3">Instructions!$C$131</definedName>
    <definedName name="ReserveBalSecAl3a">Instructions!$C$132</definedName>
    <definedName name="ReserveBalSecAl3b">Instructions!$C$133</definedName>
    <definedName name="ReserveBalSecAl3c">Instructions!$C$134</definedName>
    <definedName name="ReserveBalSecAl3d">Instructions!$C$135</definedName>
    <definedName name="ReserveBalSecAl3e">Instructions!$C$136</definedName>
    <definedName name="ReserveBalSecAl3f">Instructions!$C$137</definedName>
    <definedName name="ReserveBalSecAl3g">Instructions!$C$138</definedName>
    <definedName name="ReserveBalSecB">Instructions!$C$139</definedName>
    <definedName name="ReserveBalSecBl4">Instructions!$C$140</definedName>
    <definedName name="ReserveBalSecBl5">Instructions!$C$141</definedName>
    <definedName name="Restricted3200">Instructions!$C$14</definedName>
    <definedName name="Revenue_From_Selected_Federal_Sources">Instructions!$C$54</definedName>
    <definedName name="REVENUES">Instructions!$C$90</definedName>
    <definedName name="School_Listing_Tab">Instructions!$C$9</definedName>
    <definedName name="SchoolwideEndBal">Summary!$K$17</definedName>
    <definedName name="Section_C_Transportation">Instructions!$C$45</definedName>
    <definedName name="SectionA">Instructions!$C$110</definedName>
    <definedName name="SectionB">Instructions!$C$111</definedName>
    <definedName name="SectionC">Instructions!$C$119</definedName>
    <definedName name="SectionD">Instructions!$C$120</definedName>
    <definedName name="SectionE">Instructions!$C$121</definedName>
    <definedName name="SectionF">Instructions!$C$122</definedName>
    <definedName name="SectionG">Instructions!$C$123</definedName>
    <definedName name="SEIP1071EndBal">'Page 5'!$P$26</definedName>
    <definedName name="Snacks">Instructions!$C$118</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Instructions!$C$43</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Instructions!$C$125</definedName>
    <definedName name="SumGen">Instructions!$C$124</definedName>
    <definedName name="SupportServicesInstructionDetail">Instructions!$C$68</definedName>
    <definedName name="TeacherSalaries">Instructions!$C$35</definedName>
    <definedName name="TeacherSalariesLine1">Instructions!$C$36</definedName>
    <definedName name="TeacherSalariesLine2">Instructions!$C$37</definedName>
    <definedName name="TeacherSalariesLine3">Instructions!$C$38</definedName>
    <definedName name="TeacherSalariesLine4">Instructions!$C$39</definedName>
    <definedName name="TeacherSalariesLine5">Instructions!$C$40</definedName>
    <definedName name="TechnologyDetail">Instructions!$C$67</definedName>
    <definedName name="TotalActualGiftedExpenses">Instructions!$C$42</definedName>
    <definedName name="TotalCIP6100">'Page 5'!$I$48</definedName>
    <definedName name="TotalCIP6200">'Page 5'!$J$48</definedName>
    <definedName name="TotalCIP630064006500">'Page 5'!$K$48</definedName>
    <definedName name="TotalCIP6600">'Page 5'!$L$48</definedName>
    <definedName name="TotalCIP6800">'Page 5'!$M$48</definedName>
    <definedName name="TotalSEIP6100">'Page 5'!$I$26</definedName>
    <definedName name="TotalSEIP6200">'Page 5'!$J$26</definedName>
    <definedName name="TotalSEIP630064006500">'Page 5'!$K$26</definedName>
    <definedName name="TotalSEIP6600">'Page 5'!$L$26</definedName>
    <definedName name="TotalSEIP6800">'Page 5'!$M$26</definedName>
    <definedName name="TotExpSchoolwide">'Page 2'!$J$42</definedName>
    <definedName name="Unrestricted_Restricted_4100_4300">Instructions!$C$15</definedName>
    <definedName name="Unrestricted_Restricted_4200_4500">Instructions!$C$16</definedName>
    <definedName name="UtilitiesandEnergyServices">Instructions!$C$66</definedName>
    <definedName name="websitelink">Instructions!$C$8</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341" i="21" l="1"/>
  <c r="K32" i="15" l="1"/>
  <c r="J5" i="24" l="1"/>
  <c r="G17" i="24"/>
  <c r="J23" i="4"/>
  <c r="M24" i="6"/>
  <c r="M20" i="6"/>
  <c r="R19" i="6"/>
  <c r="M19" i="6"/>
  <c r="AC10" i="4" l="1"/>
  <c r="AC9" i="4"/>
  <c r="H19" i="8" l="1"/>
  <c r="H18" i="8"/>
  <c r="H16" i="8"/>
  <c r="M15" i="23" l="1" a="1"/>
  <c r="M15" i="23" s="1"/>
  <c r="M14" i="23" a="1"/>
  <c r="M14" i="23" s="1"/>
  <c r="M13" i="23" a="1"/>
  <c r="M13" i="23" s="1"/>
  <c r="N12" i="24" l="1"/>
  <c r="T20" i="2"/>
  <c r="E25" i="4" l="1"/>
  <c r="E21" i="4"/>
  <c r="E39" i="4" l="1"/>
  <c r="E35" i="4" a="1"/>
  <c r="E35" i="4" s="1"/>
  <c r="S25" i="5"/>
  <c r="F19" i="22"/>
  <c r="F18" i="22"/>
  <c r="F17" i="22"/>
  <c r="S22" i="5"/>
  <c r="S21" i="5"/>
  <c r="S20" i="5"/>
  <c r="S19" i="5"/>
  <c r="S18" i="5"/>
  <c r="S17" i="5"/>
  <c r="F19" i="6"/>
  <c r="F18" i="6"/>
  <c r="F17" i="6"/>
  <c r="F16" i="6"/>
  <c r="F15" i="6"/>
  <c r="F14" i="6"/>
  <c r="N47" i="14"/>
  <c r="N43" i="14"/>
  <c r="N42" i="14"/>
  <c r="N41" i="14"/>
  <c r="N40" i="14"/>
  <c r="N39" i="14"/>
  <c r="N38" i="14"/>
  <c r="N37" i="14"/>
  <c r="N35" i="14"/>
  <c r="N25" i="14"/>
  <c r="N21" i="14"/>
  <c r="N20" i="14"/>
  <c r="N19" i="14"/>
  <c r="N18" i="14"/>
  <c r="N17" i="14"/>
  <c r="N16" i="14"/>
  <c r="N14" i="14"/>
  <c r="N13" i="14"/>
  <c r="H9" i="12"/>
  <c r="H8" i="12"/>
  <c r="H7" i="12"/>
  <c r="F24" i="22" l="1"/>
  <c r="E38" i="4" a="1"/>
  <c r="E38" i="4" s="1"/>
  <c r="E37" i="4"/>
  <c r="E36" i="4"/>
  <c r="E34" i="4"/>
  <c r="E33" i="4"/>
  <c r="E32" i="4"/>
  <c r="E31" i="4"/>
  <c r="E30" i="4"/>
  <c r="E29" i="4"/>
  <c r="E28" i="4"/>
  <c r="E22" i="4"/>
  <c r="E20" i="4"/>
  <c r="E19" i="4"/>
  <c r="E18" i="4"/>
  <c r="E17" i="4"/>
  <c r="E16" i="4"/>
  <c r="E15" i="4"/>
  <c r="E14" i="4"/>
  <c r="E13" i="4"/>
  <c r="E12" i="4"/>
  <c r="E11" i="4"/>
  <c r="E10" i="4"/>
  <c r="E9" i="4"/>
  <c r="E8" i="4"/>
  <c r="E7" i="4"/>
  <c r="E6" i="4"/>
  <c r="F48" i="14"/>
  <c r="F26" i="14"/>
  <c r="F15" i="12"/>
  <c r="F40" i="4" l="1" a="1"/>
  <c r="F40" i="4" s="1"/>
  <c r="F23" i="4" a="1"/>
  <c r="F23" i="4" s="1"/>
  <c r="O1" i="26"/>
  <c r="I1" i="26"/>
  <c r="C1" i="26"/>
  <c r="E12" i="26"/>
  <c r="O20" i="26"/>
  <c r="O35" i="26"/>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s="1"/>
  <c r="E1493" i="18" a="1"/>
  <c r="E1493" i="18" s="1"/>
  <c r="E1492" i="18" a="1"/>
  <c r="E1492" i="18" s="1"/>
  <c r="E1491" i="18" a="1"/>
  <c r="E1491" i="18" s="1"/>
  <c r="E1490" i="18" a="1"/>
  <c r="E1490" i="18" s="1"/>
  <c r="E1488" i="18" a="1"/>
  <c r="E1488" i="18" s="1"/>
  <c r="E1487" i="18" a="1"/>
  <c r="E1487" i="18" s="1"/>
  <c r="E1486" i="18" a="1"/>
  <c r="E1486" i="18" s="1"/>
  <c r="E1485" i="18" a="1"/>
  <c r="E1485" i="18"/>
  <c r="E1483" i="18" a="1"/>
  <c r="E1483" i="18" s="1"/>
  <c r="E1482" i="18" a="1"/>
  <c r="E1482" i="18" s="1"/>
  <c r="E1481" i="18" a="1"/>
  <c r="E1481" i="18" s="1"/>
  <c r="E1480" i="18" a="1"/>
  <c r="E1480" i="18" s="1"/>
  <c r="E1478" i="18" a="1"/>
  <c r="E1478" i="18" s="1"/>
  <c r="E1477" i="18" a="1"/>
  <c r="E1477" i="18" s="1"/>
  <c r="E1476" i="18" a="1"/>
  <c r="E1476" i="18" s="1"/>
  <c r="E1475" i="18" a="1"/>
  <c r="E1475" i="18" s="1"/>
  <c r="E1473" i="18" a="1"/>
  <c r="E1473" i="18" s="1"/>
  <c r="E1472" i="18" a="1"/>
  <c r="E1472" i="18" s="1"/>
  <c r="E1471" i="18" a="1"/>
  <c r="E1471" i="18" s="1"/>
  <c r="E1470" i="18" a="1"/>
  <c r="E1470" i="18" s="1"/>
  <c r="E1468" i="18" a="1"/>
  <c r="E1468" i="18" s="1"/>
  <c r="E1467" i="18" a="1"/>
  <c r="E1467" i="18" s="1"/>
  <c r="E1466" i="18" a="1"/>
  <c r="E1466" i="18" s="1"/>
  <c r="E1465" i="18" a="1"/>
  <c r="E1465" i="18" s="1"/>
  <c r="E1463" i="18" a="1"/>
  <c r="E1463" i="18" s="1"/>
  <c r="E1462" i="18" a="1"/>
  <c r="E1462" i="18" s="1"/>
  <c r="E1461" i="18" a="1"/>
  <c r="E1461" i="18" s="1"/>
  <c r="E1460" i="18" a="1"/>
  <c r="E1460" i="18" s="1"/>
  <c r="E1458" i="18" a="1"/>
  <c r="E1458" i="18" s="1"/>
  <c r="E1457" i="18" a="1"/>
  <c r="E1457" i="18" s="1"/>
  <c r="E1456" i="18" a="1"/>
  <c r="E1456" i="18" s="1"/>
  <c r="E1455" i="18" a="1"/>
  <c r="E1455" i="18" s="1"/>
  <c r="E1453" i="18" a="1"/>
  <c r="E1453" i="18" s="1"/>
  <c r="E1452" i="18" a="1"/>
  <c r="E1452" i="18" s="1"/>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I22" i="24"/>
  <c r="J18" i="24"/>
  <c r="I18" i="24"/>
  <c r="N15" i="24"/>
  <c r="I1" i="24"/>
  <c r="F1" i="24"/>
  <c r="B1" i="24"/>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s="1"/>
  <c r="G17" i="23" a="1"/>
  <c r="G17" i="23" s="1"/>
  <c r="F17" i="23" a="1"/>
  <c r="F17" i="23" s="1"/>
  <c r="E17" i="23" a="1"/>
  <c r="E17" i="23" s="1"/>
  <c r="D17" i="23" a="1"/>
  <c r="D17" i="23" s="1"/>
  <c r="M16" i="23" a="1"/>
  <c r="M16" i="23" s="1"/>
  <c r="K16" i="23" a="1"/>
  <c r="K16" i="23" s="1"/>
  <c r="J16" i="23" a="1"/>
  <c r="J16" i="23" s="1"/>
  <c r="H16" i="23" a="1"/>
  <c r="H16" i="23" s="1"/>
  <c r="G16" i="23" a="1"/>
  <c r="G16" i="23" s="1"/>
  <c r="F16" i="23" a="1"/>
  <c r="F16" i="23" s="1"/>
  <c r="E16" i="23" a="1"/>
  <c r="E16" i="23" s="1"/>
  <c r="D16" i="23" a="1"/>
  <c r="D16" i="23" s="1"/>
  <c r="K15" i="23" a="1"/>
  <c r="K15" i="23" s="1"/>
  <c r="J15" i="23" a="1"/>
  <c r="J15" i="23" s="1"/>
  <c r="H15" i="23" a="1"/>
  <c r="H15" i="23" s="1"/>
  <c r="G15" i="23" a="1"/>
  <c r="G15" i="23" s="1"/>
  <c r="F15" i="23" a="1"/>
  <c r="F15" i="23" s="1"/>
  <c r="E15" i="23" a="1"/>
  <c r="E15" i="23" s="1"/>
  <c r="D15" i="23" a="1"/>
  <c r="D15" i="23" s="1"/>
  <c r="K14" i="23" a="1"/>
  <c r="K14" i="23" s="1"/>
  <c r="J14" i="23" a="1"/>
  <c r="J14" i="23" s="1"/>
  <c r="H14" i="23" a="1"/>
  <c r="H14" i="23" s="1"/>
  <c r="G14" i="23" a="1"/>
  <c r="G14" i="23" s="1"/>
  <c r="F14" i="23" a="1"/>
  <c r="F14" i="23" s="1"/>
  <c r="E14" i="23" a="1"/>
  <c r="E14" i="23" s="1"/>
  <c r="D14" i="23" a="1"/>
  <c r="D14" i="23" s="1"/>
  <c r="K13" i="23" a="1"/>
  <c r="K13" i="23" s="1"/>
  <c r="J13" i="23" a="1"/>
  <c r="J13" i="23" s="1"/>
  <c r="H13" i="23" a="1"/>
  <c r="H13" i="23" s="1"/>
  <c r="G13" i="23" a="1"/>
  <c r="G13" i="23" s="1"/>
  <c r="F13" i="23" a="1"/>
  <c r="F13" i="23" s="1"/>
  <c r="E13" i="23" a="1"/>
  <c r="E13" i="23" s="1"/>
  <c r="D13" i="23" a="1"/>
  <c r="D13" i="23" s="1"/>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s="1"/>
  <c r="J11" i="23" a="1"/>
  <c r="J11" i="23" s="1"/>
  <c r="H11" i="23" a="1"/>
  <c r="H11" i="23" s="1"/>
  <c r="G11" i="23" a="1"/>
  <c r="G11" i="23" s="1"/>
  <c r="F11" i="23" a="1"/>
  <c r="F11" i="23" s="1"/>
  <c r="E11" i="23" a="1"/>
  <c r="E11" i="23" s="1"/>
  <c r="D11" i="23" a="1"/>
  <c r="D11" i="23" s="1"/>
  <c r="M10" i="23" a="1"/>
  <c r="M10" i="23" s="1"/>
  <c r="K10" i="23" a="1"/>
  <c r="K10" i="23" s="1"/>
  <c r="J10" i="23" a="1"/>
  <c r="J10" i="23" s="1"/>
  <c r="H10" i="23" a="1"/>
  <c r="H10" i="23" s="1"/>
  <c r="G10" i="23" a="1"/>
  <c r="G10" i="23" s="1"/>
  <c r="G18" i="23" s="1" a="1"/>
  <c r="F10" i="23" a="1"/>
  <c r="F10" i="23" s="1"/>
  <c r="E10" i="23" a="1"/>
  <c r="E10" i="23" s="1"/>
  <c r="D10" i="23" a="1"/>
  <c r="D10" i="23" s="1"/>
  <c r="L1" i="23"/>
  <c r="H1" i="23"/>
  <c r="B1" i="23"/>
  <c r="K39" i="15"/>
  <c r="D35" i="15" a="1"/>
  <c r="D35" i="15" s="1"/>
  <c r="D34" i="15" a="1"/>
  <c r="D34" i="15" s="1"/>
  <c r="D33" i="15" a="1"/>
  <c r="D33" i="15" s="1"/>
  <c r="K23" i="15"/>
  <c r="AA12" i="15"/>
  <c r="AA11" i="15"/>
  <c r="K1" i="15"/>
  <c r="F1" i="15"/>
  <c r="B1" i="15"/>
  <c r="M40" i="4"/>
  <c r="I23" i="24" s="1"/>
  <c r="L40" i="4"/>
  <c r="J23" i="24" s="1"/>
  <c r="I40" i="4"/>
  <c r="I42" i="4" s="1"/>
  <c r="K39" i="4"/>
  <c r="G39" i="4"/>
  <c r="K38" i="4"/>
  <c r="G38" i="4"/>
  <c r="K37" i="4"/>
  <c r="G37" i="4"/>
  <c r="K36" i="4"/>
  <c r="G36" i="4"/>
  <c r="K35" i="4"/>
  <c r="G35" i="4"/>
  <c r="K34" i="4"/>
  <c r="G34" i="4"/>
  <c r="K33" i="4"/>
  <c r="G33" i="4"/>
  <c r="K32" i="4"/>
  <c r="G32" i="4"/>
  <c r="K31" i="4"/>
  <c r="G31" i="4"/>
  <c r="K30" i="4"/>
  <c r="G30" i="4"/>
  <c r="K29" i="4"/>
  <c r="G29" i="4"/>
  <c r="K28" i="4"/>
  <c r="J40" i="4"/>
  <c r="G23" i="24" s="1"/>
  <c r="G28" i="4"/>
  <c r="Z25" i="4" a="1"/>
  <c r="Z25" i="4" s="1"/>
  <c r="Q25" i="4" a="1"/>
  <c r="Q25" i="4" s="1"/>
  <c r="K25" i="4" a="1"/>
  <c r="K25" i="4" s="1"/>
  <c r="H25" i="4" a="1"/>
  <c r="H25" i="4" s="1"/>
  <c r="M23" i="4"/>
  <c r="L23" i="4"/>
  <c r="J22" i="24" s="1"/>
  <c r="I23" i="4"/>
  <c r="F22" i="24" s="1"/>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AC11" i="4" s="1"/>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F29" i="6"/>
  <c r="G20" i="6"/>
  <c r="G11" i="6"/>
  <c r="F11" i="6"/>
  <c r="AA9" i="6"/>
  <c r="AA8" i="6"/>
  <c r="AA7" i="6"/>
  <c r="U1" i="6"/>
  <c r="L1" i="6"/>
  <c r="C1" i="6"/>
  <c r="M47" i="14"/>
  <c r="L47" i="14"/>
  <c r="K47" i="14"/>
  <c r="J47" i="14"/>
  <c r="I47" i="14"/>
  <c r="M43" i="14"/>
  <c r="L43" i="14"/>
  <c r="K43" i="14"/>
  <c r="J43" i="14"/>
  <c r="I43" i="14"/>
  <c r="M42" i="14"/>
  <c r="L42" i="14"/>
  <c r="K42" i="14"/>
  <c r="J42" i="14"/>
  <c r="I42" i="14"/>
  <c r="M41" i="14"/>
  <c r="L41" i="14"/>
  <c r="K41" i="14"/>
  <c r="J41" i="14"/>
  <c r="I41" i="14"/>
  <c r="M40" i="14"/>
  <c r="L40" i="14"/>
  <c r="K40" i="14"/>
  <c r="J40" i="14"/>
  <c r="I40" i="14"/>
  <c r="M39" i="14"/>
  <c r="L39" i="14"/>
  <c r="K39" i="14"/>
  <c r="J39" i="14"/>
  <c r="I39" i="14"/>
  <c r="M38" i="14"/>
  <c r="L38" i="14"/>
  <c r="K38" i="14"/>
  <c r="J38" i="14"/>
  <c r="I38" i="14"/>
  <c r="M37" i="14"/>
  <c r="L37" i="14"/>
  <c r="K37" i="14"/>
  <c r="J37" i="14"/>
  <c r="I37" i="14"/>
  <c r="M35" i="14"/>
  <c r="L35" i="14"/>
  <c r="K35" i="14"/>
  <c r="J35" i="14"/>
  <c r="I35" i="14"/>
  <c r="H31" i="14"/>
  <c r="H30" i="14"/>
  <c r="M25" i="14"/>
  <c r="L25" i="14"/>
  <c r="K25" i="14"/>
  <c r="J25" i="14"/>
  <c r="I25" i="14"/>
  <c r="M21" i="14"/>
  <c r="L21" i="14"/>
  <c r="K21" i="14"/>
  <c r="J21" i="14"/>
  <c r="I21" i="14"/>
  <c r="M20" i="14"/>
  <c r="L20" i="14"/>
  <c r="K20" i="14"/>
  <c r="J20" i="14"/>
  <c r="I20" i="14"/>
  <c r="M19" i="14"/>
  <c r="L19" i="14"/>
  <c r="K19" i="14"/>
  <c r="J19" i="14"/>
  <c r="I19" i="14"/>
  <c r="M18" i="14"/>
  <c r="L18" i="14"/>
  <c r="K18" i="14"/>
  <c r="J18" i="14"/>
  <c r="I18" i="14"/>
  <c r="M17" i="14"/>
  <c r="L17" i="14"/>
  <c r="K17" i="14"/>
  <c r="J17" i="14"/>
  <c r="I17" i="14"/>
  <c r="M16" i="14"/>
  <c r="L16" i="14"/>
  <c r="K16" i="14"/>
  <c r="J16" i="14"/>
  <c r="I16" i="14"/>
  <c r="M15" i="14"/>
  <c r="L15" i="14"/>
  <c r="K15" i="14"/>
  <c r="J15" i="14"/>
  <c r="I15" i="14"/>
  <c r="M13" i="14"/>
  <c r="L13" i="14"/>
  <c r="K13" i="14"/>
  <c r="J13" i="14"/>
  <c r="I13" i="14"/>
  <c r="H9" i="14"/>
  <c r="H8" i="14"/>
  <c r="P1" i="14"/>
  <c r="K1" i="14"/>
  <c r="D1" i="14"/>
  <c r="G29" i="12"/>
  <c r="F17" i="12"/>
  <c r="G11" i="12"/>
  <c r="F11" i="12"/>
  <c r="I10" i="12"/>
  <c r="I9" i="12"/>
  <c r="I8" i="12"/>
  <c r="AA7" i="12"/>
  <c r="I7" i="12"/>
  <c r="M1" i="12"/>
  <c r="H1" i="12"/>
  <c r="C1" i="12"/>
  <c r="F27" i="22"/>
  <c r="F26" i="22"/>
  <c r="G18" i="22"/>
  <c r="H43" i="7" s="1"/>
  <c r="AA18" i="22"/>
  <c r="H12" i="22"/>
  <c r="G12" i="22"/>
  <c r="F12" i="22"/>
  <c r="H11" i="22"/>
  <c r="K11" i="22" s="1"/>
  <c r="I10" i="22"/>
  <c r="H10" i="22"/>
  <c r="G10" i="22"/>
  <c r="F10" i="22"/>
  <c r="I9" i="22"/>
  <c r="H9" i="22"/>
  <c r="G9" i="22"/>
  <c r="F9" i="22"/>
  <c r="I8" i="22"/>
  <c r="H8" i="22"/>
  <c r="G8" i="22"/>
  <c r="F8" i="22"/>
  <c r="J1" i="22"/>
  <c r="G1" i="22"/>
  <c r="D1" i="22"/>
  <c r="J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K3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K23" i="7"/>
  <c r="H9" i="7"/>
  <c r="G9" i="7"/>
  <c r="F9" i="7"/>
  <c r="E9" i="7"/>
  <c r="D9" i="7"/>
  <c r="H7" i="7"/>
  <c r="G7" i="7"/>
  <c r="F7" i="7"/>
  <c r="E7" i="7"/>
  <c r="D7" i="7"/>
  <c r="L1" i="7"/>
  <c r="G1" i="7"/>
  <c r="B1" i="7"/>
  <c r="H40" i="8"/>
  <c r="H41" i="8" s="1"/>
  <c r="H39" i="8"/>
  <c r="H38" i="8"/>
  <c r="H37" i="8"/>
  <c r="H36" i="8"/>
  <c r="H35" i="8"/>
  <c r="H32" i="8"/>
  <c r="H33" i="8" s="1"/>
  <c r="H31" i="8"/>
  <c r="H30" i="8"/>
  <c r="H29" i="8"/>
  <c r="H28" i="8"/>
  <c r="H25" i="8"/>
  <c r="H26" i="8" s="1"/>
  <c r="H24" i="8"/>
  <c r="H23" i="8"/>
  <c r="H20" i="8"/>
  <c r="H21" i="8" s="1"/>
  <c r="H17" i="8"/>
  <c r="H15" i="8"/>
  <c r="H14" i="8"/>
  <c r="H13" i="8"/>
  <c r="H12" i="8"/>
  <c r="H11" i="8"/>
  <c r="J10" i="8"/>
  <c r="H9" i="8"/>
  <c r="H8" i="8"/>
  <c r="H7" i="8"/>
  <c r="H6" i="8"/>
  <c r="H5" i="8"/>
  <c r="M1" i="8"/>
  <c r="H1" i="8"/>
  <c r="C1" i="8"/>
  <c r="G43" i="23" l="1"/>
  <c r="H45" i="23"/>
  <c r="M42" i="4"/>
  <c r="L42" i="4"/>
  <c r="F23" i="24"/>
  <c r="AA12" i="5"/>
  <c r="R11" i="5"/>
  <c r="I11" i="12"/>
  <c r="H19" i="24" s="1"/>
  <c r="E481" i="18"/>
  <c r="H43" i="8"/>
  <c r="AA13" i="15"/>
  <c r="AA14" i="15" s="1"/>
  <c r="D18" i="23" a="1"/>
  <c r="D18" i="23" s="1"/>
  <c r="D19" i="23" s="1"/>
  <c r="E1449" i="18"/>
  <c r="F18" i="23" a="1"/>
  <c r="F18" i="23" s="1"/>
  <c r="F19" i="23" s="1"/>
  <c r="AA10" i="6"/>
  <c r="D19" i="24"/>
  <c r="F18" i="12"/>
  <c r="E636" i="18"/>
  <c r="G11" i="15" s="1"/>
  <c r="E692" i="18"/>
  <c r="G19" i="15" s="1"/>
  <c r="E1014" i="18"/>
  <c r="H21" i="15" s="1"/>
  <c r="E64" i="18"/>
  <c r="D19" i="15" s="1"/>
  <c r="E1109" i="18"/>
  <c r="H10" i="8"/>
  <c r="L10" i="8" s="1"/>
  <c r="F42" i="4"/>
  <c r="H32" i="14"/>
  <c r="H48" i="14" s="1"/>
  <c r="I37" i="7"/>
  <c r="H11" i="12"/>
  <c r="G19" i="24" s="1"/>
  <c r="N22" i="14"/>
  <c r="N26" i="14" s="1"/>
  <c r="G20" i="24" s="1"/>
  <c r="N44" i="14"/>
  <c r="N48" i="14" s="1"/>
  <c r="G21" i="24" s="1"/>
  <c r="F20" i="6"/>
  <c r="I23" i="7"/>
  <c r="G11" i="24" s="1"/>
  <c r="G22" i="24"/>
  <c r="S23" i="5"/>
  <c r="F28" i="22"/>
  <c r="N33" i="4"/>
  <c r="E643" i="18"/>
  <c r="G13" i="15" s="1"/>
  <c r="E671" i="18"/>
  <c r="N38" i="4"/>
  <c r="N39" i="4"/>
  <c r="N7" i="4"/>
  <c r="N22" i="4"/>
  <c r="N28" i="4"/>
  <c r="N34" i="4"/>
  <c r="N36" i="4"/>
  <c r="N6" i="4"/>
  <c r="H23" i="7"/>
  <c r="J14" i="7"/>
  <c r="L14" i="7" s="1"/>
  <c r="G23" i="7"/>
  <c r="J21" i="7"/>
  <c r="H37" i="7"/>
  <c r="J31" i="7"/>
  <c r="L31" i="7" s="1"/>
  <c r="H23" i="4"/>
  <c r="E22" i="24" s="1"/>
  <c r="N21" i="4"/>
  <c r="K40" i="4"/>
  <c r="H23" i="24" s="1"/>
  <c r="E454" i="18"/>
  <c r="F19" i="15" s="1"/>
  <c r="E1489" i="18"/>
  <c r="E1504" i="18"/>
  <c r="J36" i="7"/>
  <c r="L36" i="7" s="1"/>
  <c r="F13" i="22"/>
  <c r="D43" i="7" s="1"/>
  <c r="H10" i="14"/>
  <c r="H26" i="14" s="1"/>
  <c r="N13" i="4"/>
  <c r="N18" i="4"/>
  <c r="N9" i="4"/>
  <c r="G25" i="4"/>
  <c r="N25" i="4" s="1"/>
  <c r="G40" i="4"/>
  <c r="D23" i="24" s="1"/>
  <c r="N31" i="4"/>
  <c r="N35" i="4"/>
  <c r="E162" i="18"/>
  <c r="E18" i="15" s="1"/>
  <c r="E176" i="18"/>
  <c r="E21" i="15" s="1"/>
  <c r="N8" i="4"/>
  <c r="E15" i="18"/>
  <c r="D13" i="15" s="1"/>
  <c r="E120" i="18"/>
  <c r="E13" i="15" s="1"/>
  <c r="N11" i="4"/>
  <c r="N17" i="4"/>
  <c r="E155" i="18"/>
  <c r="H13" i="22"/>
  <c r="F43" i="7" s="1"/>
  <c r="N14" i="4"/>
  <c r="N19" i="4"/>
  <c r="E113" i="18"/>
  <c r="E11" i="15" s="1"/>
  <c r="G23" i="4"/>
  <c r="D22" i="24" s="1"/>
  <c r="K23" i="4"/>
  <c r="H22" i="24" s="1"/>
  <c r="E1158" i="18"/>
  <c r="O17" i="14"/>
  <c r="K10" i="22"/>
  <c r="K12" i="22"/>
  <c r="E1056" i="18"/>
  <c r="E1082" i="18"/>
  <c r="E1144" i="18"/>
  <c r="I16" i="15" s="1"/>
  <c r="E197" i="18"/>
  <c r="E26" i="15" s="1"/>
  <c r="E657" i="18"/>
  <c r="G15" i="15" s="1"/>
  <c r="E979" i="18"/>
  <c r="H16" i="15" s="1"/>
  <c r="E1123" i="18"/>
  <c r="I13" i="15" s="1"/>
  <c r="E1151" i="18"/>
  <c r="E1165" i="18"/>
  <c r="I18" i="15" s="1"/>
  <c r="E1179" i="18"/>
  <c r="I21" i="15" s="1"/>
  <c r="E720" i="18"/>
  <c r="G26" i="15" s="1"/>
  <c r="E965" i="18"/>
  <c r="H14" i="15" s="1"/>
  <c r="E1137" i="18"/>
  <c r="I15" i="15" s="1"/>
  <c r="E1454" i="18"/>
  <c r="E1484" i="18"/>
  <c r="E1523" i="18"/>
  <c r="J11" i="7"/>
  <c r="L11" i="7" s="1"/>
  <c r="J35" i="7"/>
  <c r="L35" i="7" s="1"/>
  <c r="O43" i="14"/>
  <c r="E29" i="18"/>
  <c r="D15" i="15" s="1"/>
  <c r="E71" i="18"/>
  <c r="D21" i="15" s="1"/>
  <c r="E92" i="18"/>
  <c r="D26" i="15" s="1"/>
  <c r="E190" i="18"/>
  <c r="E22" i="15" s="1"/>
  <c r="E238" i="18"/>
  <c r="F11" i="15" s="1"/>
  <c r="E1028" i="18"/>
  <c r="H22" i="15" s="1"/>
  <c r="E1302" i="18"/>
  <c r="O37" i="14"/>
  <c r="E713" i="18"/>
  <c r="G22" i="15" s="1"/>
  <c r="E972" i="18"/>
  <c r="H15" i="15" s="1"/>
  <c r="E986" i="18"/>
  <c r="E1000" i="18"/>
  <c r="H18" i="15" s="1"/>
  <c r="E1200" i="18"/>
  <c r="I26" i="15" s="1"/>
  <c r="E1313" i="18"/>
  <c r="E1368" i="18"/>
  <c r="E1469" i="18"/>
  <c r="G13" i="22"/>
  <c r="E43" i="7" s="1"/>
  <c r="I13" i="22"/>
  <c r="G43" i="7" s="1"/>
  <c r="O41" i="14"/>
  <c r="E8" i="18"/>
  <c r="D11" i="15" s="1"/>
  <c r="E22" i="18"/>
  <c r="D14" i="15" s="1"/>
  <c r="E678" i="18"/>
  <c r="E958" i="18"/>
  <c r="H13" i="15" s="1"/>
  <c r="E1291" i="18"/>
  <c r="E1464" i="18"/>
  <c r="K22" i="14"/>
  <c r="K26" i="14" s="1"/>
  <c r="F45" i="7" s="1"/>
  <c r="J44" i="14"/>
  <c r="J48" i="14" s="1"/>
  <c r="E46" i="7" s="1"/>
  <c r="E1193" i="18"/>
  <c r="I22" i="15" s="1"/>
  <c r="E1258" i="18"/>
  <c r="J7" i="7"/>
  <c r="L6" i="7" s="1"/>
  <c r="J15" i="7"/>
  <c r="L15" i="7" s="1"/>
  <c r="G37" i="7"/>
  <c r="J33" i="7"/>
  <c r="L33" i="7" s="1"/>
  <c r="O13" i="14"/>
  <c r="O19" i="14"/>
  <c r="J22" i="7"/>
  <c r="J32" i="7"/>
  <c r="L32" i="7" s="1"/>
  <c r="J22" i="14"/>
  <c r="J26" i="14" s="1"/>
  <c r="E45" i="7" s="1"/>
  <c r="O18" i="14"/>
  <c r="O25" i="14"/>
  <c r="O35" i="14"/>
  <c r="E43" i="18"/>
  <c r="E134" i="18"/>
  <c r="E15" i="15" s="1"/>
  <c r="E1007" i="18"/>
  <c r="H19" i="15" s="1"/>
  <c r="E1061" i="18"/>
  <c r="E1116" i="18"/>
  <c r="I11" i="15" s="1"/>
  <c r="E1214" i="18"/>
  <c r="I24" i="15" s="1"/>
  <c r="E1533" i="18"/>
  <c r="G18" i="23"/>
  <c r="G19" i="23" s="1"/>
  <c r="J13" i="7"/>
  <c r="J20" i="7"/>
  <c r="L20" i="7" s="1"/>
  <c r="J29" i="7"/>
  <c r="L29" i="7" s="1"/>
  <c r="J30" i="7"/>
  <c r="L30" i="7" s="1"/>
  <c r="J41" i="7"/>
  <c r="H16" i="24" s="1"/>
  <c r="L22" i="14"/>
  <c r="L26" i="14" s="1"/>
  <c r="G45" i="7" s="1"/>
  <c r="O21" i="14"/>
  <c r="K44" i="14"/>
  <c r="K48" i="14" s="1"/>
  <c r="F46" i="7" s="1"/>
  <c r="O40" i="14"/>
  <c r="O47" i="14"/>
  <c r="N13" i="23"/>
  <c r="N17" i="23"/>
  <c r="E36" i="18"/>
  <c r="D16" i="15" s="1"/>
  <c r="E50" i="18"/>
  <c r="E127" i="18"/>
  <c r="E14" i="15" s="1"/>
  <c r="E141" i="18"/>
  <c r="E16" i="15" s="1"/>
  <c r="E292" i="18"/>
  <c r="F14" i="15" s="1"/>
  <c r="E346" i="18"/>
  <c r="F16" i="15" s="1"/>
  <c r="E400" i="18"/>
  <c r="E427" i="18"/>
  <c r="F18" i="15" s="1"/>
  <c r="E576" i="18"/>
  <c r="E664" i="18"/>
  <c r="G16" i="15" s="1"/>
  <c r="E734" i="18"/>
  <c r="G24" i="15" s="1"/>
  <c r="E993" i="18"/>
  <c r="E1172" i="18"/>
  <c r="I19" i="15" s="1"/>
  <c r="E1499" i="18"/>
  <c r="J12" i="7"/>
  <c r="L12" i="7" s="1"/>
  <c r="J19" i="7"/>
  <c r="L19" i="7" s="1"/>
  <c r="J40" i="7"/>
  <c r="H15" i="24" s="1"/>
  <c r="M22" i="14"/>
  <c r="M26" i="14" s="1"/>
  <c r="H45" i="7" s="1"/>
  <c r="O20" i="14"/>
  <c r="L44" i="14"/>
  <c r="L48" i="14" s="1"/>
  <c r="G46" i="7" s="1"/>
  <c r="O39" i="14"/>
  <c r="N11" i="23"/>
  <c r="N15" i="23"/>
  <c r="E265" i="18"/>
  <c r="F13" i="15" s="1"/>
  <c r="E373" i="18"/>
  <c r="E535" i="18"/>
  <c r="F22" i="15" s="1"/>
  <c r="E602" i="18"/>
  <c r="E1247" i="18"/>
  <c r="E1357" i="18"/>
  <c r="D37" i="7"/>
  <c r="J28" i="7"/>
  <c r="L28" i="7" s="1"/>
  <c r="J39" i="7"/>
  <c r="H14" i="24" s="1"/>
  <c r="O16" i="14"/>
  <c r="M44" i="14"/>
  <c r="M48" i="14" s="1"/>
  <c r="H46" i="7" s="1"/>
  <c r="E85" i="18"/>
  <c r="D22" i="15" s="1"/>
  <c r="E106" i="18"/>
  <c r="D24" i="15" s="1"/>
  <c r="E169" i="18"/>
  <c r="E19" i="15" s="1"/>
  <c r="E211" i="18"/>
  <c r="E24" i="15" s="1"/>
  <c r="F21" i="15"/>
  <c r="E1049" i="18"/>
  <c r="H24" i="15" s="1"/>
  <c r="E1459" i="18"/>
  <c r="E1479" i="18"/>
  <c r="E1518" i="18"/>
  <c r="J17" i="7"/>
  <c r="L17" i="7" s="1"/>
  <c r="J10" i="7"/>
  <c r="L10" i="7" s="1"/>
  <c r="J27" i="7"/>
  <c r="L26" i="7" s="1"/>
  <c r="J38" i="7"/>
  <c r="H13" i="24" s="1"/>
  <c r="O42" i="14"/>
  <c r="N12" i="23"/>
  <c r="E685" i="18"/>
  <c r="G18" i="15" s="1"/>
  <c r="E699" i="18"/>
  <c r="G21" i="15" s="1"/>
  <c r="E1035" i="18"/>
  <c r="H26" i="15" s="1"/>
  <c r="E1236" i="18"/>
  <c r="E1346" i="18"/>
  <c r="E1494" i="18"/>
  <c r="E1528" i="18"/>
  <c r="E1539" i="18"/>
  <c r="J18" i="7"/>
  <c r="L18" i="7" s="1"/>
  <c r="E23" i="7"/>
  <c r="J9" i="7"/>
  <c r="L8" i="7" s="1"/>
  <c r="J16" i="7"/>
  <c r="L16" i="7" s="1"/>
  <c r="J34" i="7"/>
  <c r="L34" i="7" s="1"/>
  <c r="O14" i="14"/>
  <c r="O38" i="14"/>
  <c r="N14" i="23"/>
  <c r="E57" i="18"/>
  <c r="D18" i="15" s="1"/>
  <c r="E148" i="18"/>
  <c r="E319" i="18"/>
  <c r="F15" i="15" s="1"/>
  <c r="E589" i="18"/>
  <c r="E951" i="18"/>
  <c r="H11" i="15" s="1"/>
  <c r="E1130" i="18"/>
  <c r="I14" i="15" s="1"/>
  <c r="E1280" i="18"/>
  <c r="E1388" i="18"/>
  <c r="E1474" i="18"/>
  <c r="F37" i="7"/>
  <c r="N16" i="23"/>
  <c r="E562" i="18"/>
  <c r="F26" i="15" s="1"/>
  <c r="E650" i="18"/>
  <c r="G14" i="15" s="1"/>
  <c r="E1225" i="18"/>
  <c r="E1269" i="18"/>
  <c r="E1335" i="18"/>
  <c r="D36" i="15" s="1"/>
  <c r="F23" i="7"/>
  <c r="K9" i="22"/>
  <c r="I22" i="14"/>
  <c r="I26" i="14" s="1"/>
  <c r="D45" i="7" s="1"/>
  <c r="I44" i="14"/>
  <c r="I48" i="14" s="1"/>
  <c r="D46" i="7" s="1"/>
  <c r="N12" i="4"/>
  <c r="N30" i="4"/>
  <c r="N37" i="4"/>
  <c r="D23" i="7"/>
  <c r="J25" i="7"/>
  <c r="E37" i="7"/>
  <c r="K8" i="22"/>
  <c r="N15" i="4"/>
  <c r="N32" i="4"/>
  <c r="AA20" i="8"/>
  <c r="N10" i="23"/>
  <c r="N10" i="4"/>
  <c r="N20" i="4"/>
  <c r="N29" i="4"/>
  <c r="L44" i="7"/>
  <c r="N16" i="4"/>
  <c r="J13" i="22"/>
  <c r="G18" i="24" s="1"/>
  <c r="K42" i="7"/>
  <c r="E23" i="4"/>
  <c r="T31" i="6"/>
  <c r="T32" i="6" s="1"/>
  <c r="E40" i="4"/>
  <c r="H18" i="23" a="1"/>
  <c r="H18" i="23" s="1"/>
  <c r="H19" i="23" s="1"/>
  <c r="J18" i="23" a="1"/>
  <c r="J18" i="23" s="1"/>
  <c r="J19" i="23" s="1"/>
  <c r="E18" i="23" a="1"/>
  <c r="E18" i="23" s="1"/>
  <c r="E19" i="23" s="1"/>
  <c r="K18" i="23" a="1"/>
  <c r="K18" i="23" s="1"/>
  <c r="K19" i="23" s="1"/>
  <c r="M18" i="23" a="1"/>
  <c r="M18" i="23" s="1"/>
  <c r="M19" i="23" s="1"/>
  <c r="I17" i="15" l="1"/>
  <c r="I23" i="15" s="1"/>
  <c r="E50" i="15"/>
  <c r="E48" i="15"/>
  <c r="E17" i="15"/>
  <c r="E23" i="15" s="1"/>
  <c r="F19" i="12"/>
  <c r="F20" i="12" s="1"/>
  <c r="K19" i="24"/>
  <c r="I42" i="7"/>
  <c r="I48" i="7" s="1"/>
  <c r="L21" i="7"/>
  <c r="H42" i="7"/>
  <c r="G42" i="4"/>
  <c r="J14" i="15"/>
  <c r="G17" i="15"/>
  <c r="G23" i="15" s="1"/>
  <c r="H42" i="4"/>
  <c r="K42" i="4"/>
  <c r="J47" i="7" s="1"/>
  <c r="L47" i="7" s="1"/>
  <c r="K23" i="24"/>
  <c r="J26" i="15"/>
  <c r="K22" i="24"/>
  <c r="J15" i="15"/>
  <c r="F17" i="15"/>
  <c r="F23" i="15" s="1"/>
  <c r="H17" i="15"/>
  <c r="N23" i="4"/>
  <c r="J19" i="15"/>
  <c r="L41" i="7"/>
  <c r="L40" i="7"/>
  <c r="J16" i="15"/>
  <c r="D21" i="24"/>
  <c r="D18" i="24"/>
  <c r="F29" i="22"/>
  <c r="E1534" i="18"/>
  <c r="J24" i="15"/>
  <c r="G42" i="7"/>
  <c r="D20" i="24"/>
  <c r="G12" i="24"/>
  <c r="N40" i="4"/>
  <c r="J42" i="4"/>
  <c r="J45" i="7"/>
  <c r="L45" i="7" s="1"/>
  <c r="J37" i="7"/>
  <c r="H12" i="24" s="1"/>
  <c r="F42" i="7"/>
  <c r="J21" i="15"/>
  <c r="O22" i="14"/>
  <c r="O26" i="14" s="1"/>
  <c r="H20" i="24" s="1"/>
  <c r="J22" i="15"/>
  <c r="J18" i="15"/>
  <c r="L39" i="7"/>
  <c r="J43" i="7"/>
  <c r="E1036" i="18"/>
  <c r="H25" i="15" s="1"/>
  <c r="E42" i="7"/>
  <c r="D42" i="7"/>
  <c r="K13" i="22"/>
  <c r="F30" i="22" s="1"/>
  <c r="J13" i="15"/>
  <c r="E629" i="18"/>
  <c r="F24" i="15" s="1"/>
  <c r="E1369" i="18"/>
  <c r="J46" i="7"/>
  <c r="L46" i="7" s="1"/>
  <c r="J23" i="7"/>
  <c r="L23" i="7" s="1"/>
  <c r="D17" i="15"/>
  <c r="D23" i="15" s="1"/>
  <c r="L13" i="7"/>
  <c r="O44" i="14"/>
  <c r="O48" i="14" s="1"/>
  <c r="P48" i="14" s="1"/>
  <c r="E721" i="18"/>
  <c r="G25" i="15" s="1"/>
  <c r="L24" i="7"/>
  <c r="E1505" i="18"/>
  <c r="E198" i="18"/>
  <c r="E25" i="15" s="1"/>
  <c r="L38" i="7"/>
  <c r="E93" i="18"/>
  <c r="D25" i="15" s="1"/>
  <c r="E1201" i="18"/>
  <c r="I25" i="15" s="1"/>
  <c r="E563" i="18"/>
  <c r="N19" i="23"/>
  <c r="F45" i="23" s="1"/>
  <c r="F46" i="23" s="1"/>
  <c r="J11" i="15"/>
  <c r="N18" i="23"/>
  <c r="E42" i="4"/>
  <c r="K48" i="7"/>
  <c r="J17" i="15" l="1"/>
  <c r="J23" i="15" s="1"/>
  <c r="N42" i="4"/>
  <c r="H23" i="15"/>
  <c r="L37" i="7"/>
  <c r="D17" i="24"/>
  <c r="P26" i="14"/>
  <c r="F31" i="22"/>
  <c r="K20" i="24"/>
  <c r="O30" i="23"/>
  <c r="H18" i="24"/>
  <c r="K18" i="24" s="1"/>
  <c r="F25" i="15"/>
  <c r="N30" i="23"/>
  <c r="H11" i="24"/>
  <c r="H17" i="24" s="1"/>
  <c r="Q34" i="2"/>
  <c r="L43" i="7"/>
  <c r="J25" i="15"/>
  <c r="J42" i="7"/>
  <c r="L42" i="7" s="1"/>
  <c r="H21" i="24"/>
  <c r="K21" i="24" s="1"/>
  <c r="M30" i="23"/>
  <c r="L30" i="23"/>
  <c r="P30" i="23"/>
  <c r="K17" i="24" l="1"/>
  <c r="C11" i="25" s="1"/>
  <c r="Q33" i="2"/>
  <c r="J48" i="7"/>
  <c r="A16" i="17" s="1"/>
  <c r="B16" i="17" s="1"/>
  <c r="C13" i="25" l="1"/>
  <c r="C21" i="25" s="1"/>
  <c r="A4" i="17"/>
  <c r="B4" i="17" s="1"/>
  <c r="M12" i="22"/>
  <c r="B14" i="2" s="1"/>
  <c r="A13" i="17"/>
  <c r="B13" i="17" s="1"/>
  <c r="A14" i="17"/>
  <c r="B14" i="17" s="1"/>
  <c r="A15" i="17"/>
  <c r="B15" i="17" s="1"/>
  <c r="A12" i="17"/>
  <c r="B12" i="17" s="1"/>
  <c r="N10" i="7"/>
  <c r="B12" i="2" s="1"/>
  <c r="A10" i="17"/>
  <c r="B10" i="17" s="1"/>
  <c r="A7" i="17"/>
  <c r="B7" i="17" s="1"/>
  <c r="N9" i="7"/>
  <c r="B10" i="2" s="1"/>
  <c r="K11" i="12"/>
  <c r="K10" i="12"/>
  <c r="B18" i="2" s="1"/>
  <c r="H33" i="6"/>
  <c r="B16" i="2" s="1"/>
  <c r="A5" i="17"/>
  <c r="B5" i="17" s="1"/>
  <c r="L48" i="7"/>
  <c r="A8" i="17"/>
  <c r="B8" i="17" s="1"/>
  <c r="A6" i="17"/>
  <c r="B6" i="17" s="1"/>
  <c r="A3" i="17"/>
  <c r="B3" i="17" s="1"/>
  <c r="A9" i="17"/>
  <c r="B9" i="17" s="1"/>
  <c r="A1" i="17" l="1"/>
  <c r="L2" i="2"/>
  <c r="L4" i="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<sst xmlns="http://schemas.openxmlformats.org/spreadsheetml/2006/main" count="6770" uniqueCount="1490">
  <si>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</si>
  <si>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</si>
  <si>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</si>
  <si>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</si>
  <si>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</si>
  <si>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</si>
  <si>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</si>
  <si>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</si>
  <si>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</si>
  <si>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</si>
  <si>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</si>
  <si>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</si>
  <si>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</si>
  <si>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</si>
  <si>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</si>
  <si>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</si>
  <si>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</si>
  <si>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</si>
  <si>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</si>
  <si>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</si>
  <si>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</si>
  <si>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</si>
  <si>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</si>
  <si>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</si>
  <si>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</si>
  <si>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</si>
  <si>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</si>
  <si>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</si>
  <si>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</si>
  <si>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</si>
  <si>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</si>
  <si>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</si>
  <si>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</si>
  <si>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</si>
  <si>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</si>
  <si>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</si>
  <si>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</si>
  <si>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</si>
  <si>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</si>
  <si>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</si>
  <si>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</si>
  <si>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</si>
  <si>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</si>
  <si>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</si>
  <si>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</si>
  <si>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</si>
  <si>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</si>
  <si>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</si>
  <si>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</si>
  <si>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</si>
  <si>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</si>
  <si>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</si>
  <si>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</si>
  <si>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</si>
  <si>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</si>
  <si>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</si>
  <si>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</si>
  <si>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</si>
  <si>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</si>
  <si>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</si>
  <si>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</si>
  <si>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</si>
  <si>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</si>
  <si>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</si>
  <si>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</si>
  <si>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</si>
  <si>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</si>
  <si>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</si>
  <si>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</si>
  <si>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</si>
  <si>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</si>
  <si>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</si>
  <si>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</si>
  <si>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</si>
  <si>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</si>
  <si>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</si>
  <si>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</si>
  <si>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</si>
  <si>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</si>
  <si>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</si>
  <si>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</si>
  <si>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</si>
  <si>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</si>
  <si>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</si>
  <si>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</si>
  <si>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</si>
  <si>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</si>
  <si>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</si>
  <si>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</si>
  <si>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</si>
  <si>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</si>
  <si>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</si>
  <si>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</si>
  <si>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</si>
  <si>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</si>
  <si>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</si>
  <si>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</si>
  <si>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</si>
  <si>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</si>
  <si>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</si>
  <si>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</si>
  <si>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</si>
  <si>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</si>
  <si>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</si>
  <si>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</si>
  <si>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</si>
  <si>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</si>
  <si>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</si>
  <si>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</si>
  <si>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</si>
  <si>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</si>
  <si>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</si>
  <si>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</si>
  <si>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</si>
  <si>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</si>
  <si>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</si>
  <si>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</si>
  <si>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</si>
  <si>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</si>
  <si>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</si>
  <si>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</si>
  <si>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</si>
  <si>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</si>
  <si>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</si>
  <si>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</si>
  <si>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</si>
  <si>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</si>
  <si>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</si>
  <si>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</si>
  <si>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</si>
  <si>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</si>
  <si>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</si>
  <si>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</si>
  <si>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</si>
  <si>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</si>
  <si>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</si>
  <si>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</si>
  <si>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</si>
  <si>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</si>
  <si>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</si>
  <si>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</si>
  <si>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</si>
  <si>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</si>
  <si>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</si>
  <si>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</si>
  <si>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</si>
  <si>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</si>
  <si>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</si>
  <si>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</si>
  <si>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</si>
  <si>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</si>
  <si>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</si>
  <si>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</si>
  <si>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</si>
  <si>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</si>
  <si>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</si>
  <si>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</si>
  <si>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</si>
  <si>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</si>
  <si>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</si>
  <si>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</si>
  <si>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</si>
  <si>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</si>
  <si>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</si>
  <si>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</si>
  <si>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</si>
  <si>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</si>
  <si>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</si>
  <si>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</si>
  <si>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</si>
  <si>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</si>
  <si>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</si>
  <si>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</si>
  <si>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</si>
  <si>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</si>
  <si>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</si>
  <si>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Expenses (line 5 above)</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</si>
  <si>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</si>
  <si>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</si>
  <si>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</si>
  <si>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</si>
  <si>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</si>
  <si>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</si>
  <si>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</si>
  <si>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</si>
  <si>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</si>
  <si>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</si>
  <si>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</si>
  <si>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</si>
  <si>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</si>
  <si>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</si>
  <si>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</si>
  <si>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</si>
  <si>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</si>
  <si>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</si>
  <si>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</si>
  <si>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</si>
  <si>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</si>
  <si>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</si>
  <si>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</si>
  <si>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</si>
  <si>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</si>
  <si>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</si>
  <si>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</si>
  <si>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</si>
  <si>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</si>
  <si>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</si>
  <si>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</si>
  <si>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</si>
  <si>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</si>
  <si>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</si>
  <si>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</si>
  <si>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</si>
  <si>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</si>
  <si>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</si>
  <si>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</si>
  <si>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</si>
  <si>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</si>
  <si>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</si>
  <si>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</si>
  <si>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</si>
  <si>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</si>
  <si>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</si>
  <si>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</si>
  <si>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</si>
  <si>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</si>
  <si>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</si>
  <si>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</si>
  <si>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</si>
  <si>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</si>
  <si>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</si>
  <si>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</si>
  <si>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</si>
  <si>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</si>
  <si>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</si>
  <si>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</si>
  <si>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</si>
  <si>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</si>
  <si>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</si>
  <si>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</si>
  <si>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</si>
  <si>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</si>
  <si>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</si>
  <si>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</si>
  <si>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</si>
  <si>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</si>
  <si>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</si>
  <si>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</si>
  <si>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</si>
  <si>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</si>
  <si>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</si>
  <si>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</si>
  <si>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</si>
  <si>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</si>
  <si>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</si>
  <si>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</si>
  <si>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</si>
  <si>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</si>
  <si>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</si>
  <si>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</si>
  <si>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</si>
  <si>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</si>
  <si>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</si>
  <si>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</si>
  <si>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</si>
  <si>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</si>
  <si>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</si>
  <si>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</si>
  <si>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</si>
  <si>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</si>
  <si>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</si>
  <si>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</si>
  <si>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</si>
  <si>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</si>
  <si>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</si>
  <si>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</si>
  <si>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</si>
  <si>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</si>
  <si>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</si>
  <si>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</si>
  <si>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</si>
  <si>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</si>
  <si>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</si>
  <si>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</si>
  <si>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</si>
  <si>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</si>
  <si>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</si>
  <si>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</si>
  <si>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</si>
  <si>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</si>
  <si>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</si>
  <si>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</si>
  <si>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</si>
  <si>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</si>
  <si>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</si>
  <si>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</si>
  <si>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</si>
  <si>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</si>
  <si>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</si>
  <si>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</si>
  <si>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</si>
  <si>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</si>
  <si>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</si>
  <si>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</si>
  <si>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</si>
  <si>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</si>
  <si>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</si>
  <si>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</si>
  <si>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</si>
  <si>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</si>
  <si>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</si>
  <si>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</si>
  <si>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</si>
  <si>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</si>
  <si>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</si>
  <si>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</si>
  <si>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</si>
  <si>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</si>
  <si>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</si>
  <si>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</si>
  <si>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</si>
  <si>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</si>
  <si>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</si>
  <si>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</si>
  <si>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</si>
  <si>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</si>
  <si>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</si>
  <si>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</si>
  <si>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</si>
  <si>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</si>
  <si>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</si>
  <si>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</si>
  <si>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</si>
  <si>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</si>
  <si>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</si>
  <si>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</si>
  <si>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</si>
  <si>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</si>
  <si>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</si>
  <si>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</si>
  <si>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</si>
  <si>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</si>
  <si>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</si>
  <si>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</si>
  <si>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</si>
  <si>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</si>
  <si>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</si>
  <si>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</si>
  <si>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</si>
  <si>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</si>
  <si>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</si>
  <si>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</si>
  <si>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</si>
  <si>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</si>
  <si>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</si>
  <si>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</si>
  <si>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</si>
  <si>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</si>
  <si>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</si>
  <si>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</si>
  <si>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</si>
  <si>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</si>
  <si>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</si>
  <si>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</si>
  <si>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</si>
  <si>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</si>
  <si>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</si>
  <si>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</si>
  <si>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</si>
  <si>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</si>
  <si>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</si>
  <si>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</si>
  <si>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</si>
  <si>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</si>
  <si>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</si>
  <si>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</si>
  <si>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</si>
  <si>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</si>
  <si>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</si>
  <si>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</si>
  <si>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</si>
  <si>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</si>
  <si>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</si>
  <si>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</si>
  <si>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</si>
  <si>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</si>
  <si>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</si>
  <si>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</si>
  <si>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</si>
  <si>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</si>
  <si>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</si>
  <si>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</si>
  <si>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</si>
  <si>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</si>
  <si>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</si>
  <si>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</si>
  <si>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</si>
  <si>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</si>
  <si>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</si>
  <si>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</si>
  <si>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</si>
  <si>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</si>
  <si>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</si>
  <si>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</si>
  <si>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</si>
  <si>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</si>
  <si>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</si>
  <si>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</si>
  <si>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</si>
  <si>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</si>
  <si>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</si>
  <si>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</si>
  <si>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</si>
  <si>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</si>
  <si>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</si>
  <si>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</si>
  <si>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</si>
  <si>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</si>
  <si>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</si>
  <si>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</si>
  <si>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</si>
  <si>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</si>
  <si>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</si>
  <si>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</si>
  <si>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</si>
  <si>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</si>
  <si>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</si>
  <si>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</si>
  <si>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</si>
  <si>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</si>
  <si>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</si>
  <si>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</si>
  <si>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</si>
  <si>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</si>
  <si>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</si>
  <si>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</si>
  <si>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</si>
  <si>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</si>
  <si>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</si>
  <si>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</si>
  <si>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</si>
  <si>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</si>
  <si>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</si>
  <si>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</si>
  <si>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</si>
  <si>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</si>
  <si>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</si>
  <si>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</si>
  <si>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</si>
  <si>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</si>
  <si>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</si>
  <si>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</si>
  <si>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</si>
  <si>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</si>
  <si>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</si>
  <si>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</si>
  <si>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</si>
  <si>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</si>
  <si>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</si>
  <si>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</si>
  <si>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</si>
  <si>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</si>
  <si>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</si>
  <si>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</si>
  <si>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</si>
  <si>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</si>
  <si>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</si>
  <si>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</si>
  <si>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</si>
  <si>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</si>
  <si>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</si>
  <si>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</si>
  <si>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</si>
  <si>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</si>
  <si>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</si>
  <si>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</si>
  <si>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</si>
  <si>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</si>
  <si>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</si>
  <si>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</si>
  <si>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</si>
  <si>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</si>
  <si>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</si>
  <si>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</si>
  <si>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</si>
  <si>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</si>
  <si>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</si>
  <si>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</si>
  <si>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</si>
  <si>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</si>
  <si>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</si>
  <si>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</si>
  <si>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</si>
  <si>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</si>
  <si>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</si>
  <si>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</si>
  <si>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</si>
  <si>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</si>
  <si>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</si>
  <si>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</si>
  <si>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</si>
  <si>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</si>
  <si>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</si>
  <si>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</si>
  <si>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</si>
  <si>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</si>
  <si>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</si>
  <si>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</si>
  <si>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</si>
  <si>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</si>
  <si>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</si>
  <si>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</si>
  <si>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</si>
  <si>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</si>
  <si>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</si>
  <si>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</si>
  <si>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</si>
  <si>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</si>
  <si>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</si>
  <si>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</si>
  <si>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</si>
  <si>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</si>
  <si>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</si>
  <si>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</si>
  <si>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</si>
  <si>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</si>
  <si>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</si>
  <si>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</si>
  <si>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</si>
  <si>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</si>
  <si>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</si>
  <si>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</si>
  <si>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</si>
  <si>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</si>
  <si>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</si>
  <si>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</si>
  <si>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</si>
  <si>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</si>
  <si>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</si>
  <si>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</si>
  <si>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</si>
  <si>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</si>
  <si>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</si>
  <si>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</si>
  <si>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</si>
  <si>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</si>
  <si>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</si>
  <si>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</si>
  <si>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</si>
  <si>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</si>
  <si>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</si>
  <si>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</si>
  <si>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</si>
  <si>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</si>
  <si>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</si>
  <si>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</si>
  <si>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</si>
  <si>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</si>
  <si>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</si>
  <si>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</si>
  <si>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</si>
  <si>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</si>
  <si>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</si>
  <si>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</si>
  <si>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</si>
  <si>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</si>
  <si>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</si>
  <si>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</si>
  <si>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</si>
  <si>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</si>
  <si>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</si>
  <si>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</si>
  <si>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</si>
  <si>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</si>
  <si>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</si>
  <si>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</si>
  <si>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</si>
  <si>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</si>
  <si>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</si>
  <si>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</si>
  <si>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</si>
  <si>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</si>
  <si>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</si>
  <si>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</si>
  <si>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</si>
  <si>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</si>
  <si>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</si>
  <si>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</si>
  <si>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</si>
  <si>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</si>
  <si>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</si>
  <si>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</si>
  <si>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</si>
  <si>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</si>
  <si>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</si>
  <si>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</si>
  <si>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</si>
  <si>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</si>
  <si>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</si>
  <si>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</si>
  <si>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</si>
  <si>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</si>
  <si>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</si>
  <si>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</si>
  <si>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</si>
  <si>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</si>
  <si>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</si>
  <si>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</si>
  <si>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</si>
  <si>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</si>
  <si>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</si>
  <si>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</si>
  <si>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</si>
  <si>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</si>
  <si>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</si>
  <si>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</si>
  <si>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</si>
  <si>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</si>
  <si>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</si>
  <si>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</si>
  <si>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</si>
  <si>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</si>
  <si>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</si>
  <si>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</si>
  <si>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</si>
  <si>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</si>
  <si>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</si>
  <si>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</si>
  <si>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</si>
  <si>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</si>
  <si>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</si>
  <si>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</si>
  <si>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</si>
  <si>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</si>
  <si>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</si>
  <si>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</si>
  <si>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</si>
  <si>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</si>
  <si>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</si>
  <si>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</si>
  <si>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</si>
  <si>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</si>
  <si>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</si>
  <si>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</si>
  <si>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</si>
  <si>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</si>
  <si>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</si>
  <si>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</si>
  <si>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</si>
  <si>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</si>
  <si>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</si>
  <si>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</si>
  <si>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</si>
  <si>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</si>
  <si>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</si>
  <si>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</si>
  <si>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</si>
  <si>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</si>
  <si>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</si>
  <si>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</si>
  <si>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</si>
  <si>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</si>
  <si>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</si>
  <si>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</si>
  <si>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</si>
  <si>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</si>
  <si>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</si>
  <si>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</si>
  <si>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</si>
  <si>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</si>
  <si>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</si>
  <si>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</si>
  <si>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</si>
  <si>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</si>
  <si>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</si>
  <si>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</si>
  <si>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</si>
  <si>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</si>
  <si>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</si>
  <si>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</si>
  <si>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</si>
  <si>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</si>
  <si>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</si>
  <si>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</si>
  <si>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</si>
  <si>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</si>
  <si>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</si>
  <si>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</si>
  <si>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</si>
  <si>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</si>
  <si>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</si>
  <si>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</si>
  <si>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</si>
  <si>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</si>
  <si>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</si>
  <si>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</si>
  <si>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</si>
  <si>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</si>
  <si>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</si>
  <si>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</si>
  <si>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</si>
  <si>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</si>
  <si>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</si>
  <si>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</si>
  <si>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</si>
  <si>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</si>
  <si>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</si>
  <si>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</si>
  <si>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</si>
  <si>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</si>
  <si>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</si>
  <si>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</si>
  <si>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</si>
  <si>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</si>
  <si>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</si>
  <si>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</si>
  <si>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</si>
  <si>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</si>
  <si>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</si>
  <si>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</si>
  <si>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</si>
  <si>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</si>
  <si>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</si>
  <si>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</si>
  <si>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</si>
  <si>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</si>
  <si>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</si>
  <si>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</si>
  <si>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</si>
  <si>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</si>
  <si>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</si>
  <si>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</si>
  <si>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</si>
  <si>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</si>
  <si>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</si>
  <si>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</si>
  <si>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</si>
  <si>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</si>
  <si>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Report all revenues the Charter received on this page.  </t>
  </si>
  <si>
    <t xml:space="preserve">1600 Food service, line 6 </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</si>
  <si>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</si>
  <si>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</si>
  <si>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</si>
  <si>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</si>
  <si>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</si>
  <si>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</si>
  <si>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</si>
  <si>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</si>
  <si>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</si>
  <si>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</si>
  <si>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</si>
  <si>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</si>
  <si>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</si>
  <si>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</si>
  <si>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</si>
  <si>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</si>
  <si>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</si>
  <si>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</si>
  <si>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</si>
  <si>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</si>
  <si>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</si>
  <si>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</si>
  <si>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</si>
  <si>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</si>
  <si>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</si>
  <si>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</si>
  <si>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</si>
  <si>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</si>
  <si>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</si>
  <si>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</si>
  <si>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</si>
  <si>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</si>
  <si>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</si>
  <si>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</si>
  <si>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</si>
  <si>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</si>
  <si>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</si>
  <si>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</si>
  <si>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</si>
  <si>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</si>
  <si>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</si>
  <si>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</si>
  <si>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</si>
  <si>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</si>
  <si>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</si>
  <si>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</si>
  <si>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</si>
  <si>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</si>
  <si>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</si>
  <si>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</si>
  <si>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</si>
  <si>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</si>
  <si>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</si>
  <si>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</si>
  <si>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</si>
  <si>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</si>
  <si>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</si>
  <si>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</si>
  <si>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</si>
  <si>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</si>
  <si>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</si>
  <si>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</si>
  <si>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</si>
  <si>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</si>
  <si>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</si>
  <si>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</si>
  <si>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</si>
  <si>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</si>
  <si>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</si>
  <si>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</si>
  <si>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</si>
  <si>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</si>
  <si>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</si>
  <si>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</si>
  <si>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</si>
  <si>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</si>
  <si>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</si>
  <si>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</si>
  <si>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</si>
  <si>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</si>
  <si>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</si>
  <si>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</si>
  <si>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</si>
  <si>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</si>
  <si>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</si>
  <si>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</si>
  <si>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</si>
  <si>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</si>
  <si>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</si>
  <si>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</si>
  <si>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</si>
  <si>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</si>
  <si>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</si>
  <si>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</si>
  <si>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</si>
  <si>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</si>
  <si>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</si>
  <si>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</si>
  <si>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</si>
  <si>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Reserve Balance tab</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</si>
  <si>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</si>
  <si>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</si>
  <si>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</si>
  <si>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</si>
  <si>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</si>
  <si>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</si>
  <si>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</si>
  <si>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</si>
  <si>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</si>
  <si>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</si>
  <si>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</si>
  <si>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</si>
  <si>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</si>
  <si>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</si>
  <si>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</si>
  <si>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</si>
  <si>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</si>
  <si>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</si>
  <si>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</si>
  <si>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</si>
  <si>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</si>
  <si>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</si>
  <si>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</si>
  <si>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</si>
  <si>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</si>
  <si>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</si>
  <si>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</si>
  <si>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</si>
  <si>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</si>
  <si>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</si>
  <si>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</si>
  <si>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</si>
  <si>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</si>
  <si>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</si>
  <si>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</si>
  <si>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</si>
  <si>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</si>
  <si>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</si>
  <si>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</si>
  <si>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</si>
  <si>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</si>
  <si>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</si>
  <si>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</si>
  <si>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</si>
  <si>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</si>
  <si>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</si>
  <si>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</si>
  <si>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</si>
  <si>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</si>
  <si>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</si>
  <si>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</si>
  <si>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</si>
  <si>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</si>
  <si>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</si>
  <si>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</si>
  <si>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</si>
  <si>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</si>
  <si>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</si>
  <si>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</si>
  <si>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</si>
  <si>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</si>
  <si>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</si>
  <si>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</si>
  <si>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</si>
  <si>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</si>
  <si>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</si>
  <si>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</si>
  <si>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</si>
  <si>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</si>
  <si>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</si>
  <si>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</si>
  <si>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</si>
  <si>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</si>
  <si>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</si>
  <si>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</si>
  <si>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</si>
  <si>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</si>
  <si>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</si>
  <si>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</si>
  <si>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</si>
  <si>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</si>
  <si>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</si>
  <si>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</si>
  <si>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</si>
  <si>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</si>
  <si>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</si>
  <si>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</si>
  <si>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</si>
  <si>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</si>
  <si>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</si>
  <si>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</si>
  <si>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</si>
  <si>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</si>
  <si>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</si>
  <si>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</si>
  <si>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</si>
  <si>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</si>
  <si>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</si>
  <si>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</si>
  <si>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</si>
  <si>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</si>
  <si>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</si>
  <si>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</si>
  <si>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</si>
  <si>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</si>
  <si>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</si>
  <si>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</si>
  <si>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</si>
  <si>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</si>
  <si>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</si>
  <si>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</si>
  <si>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</si>
  <si>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</si>
  <si>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</si>
  <si>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</si>
  <si>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</si>
  <si>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</si>
  <si>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</si>
  <si>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</si>
  <si>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</si>
  <si>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</si>
  <si>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</si>
  <si>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</si>
  <si>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</si>
  <si>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</si>
  <si>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</si>
  <si>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</si>
  <si>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</si>
  <si>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</si>
  <si>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</si>
  <si>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</si>
  <si>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</si>
  <si>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</si>
  <si>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</si>
  <si>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</si>
  <si>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</si>
  <si>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</si>
  <si>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</si>
  <si>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</si>
  <si>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</si>
  <si>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</si>
  <si>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</si>
  <si>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</si>
  <si>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</si>
  <si>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</si>
  <si>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</si>
  <si>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</si>
  <si>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</si>
  <si>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</si>
  <si>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</si>
  <si>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</si>
  <si>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</si>
  <si>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</si>
  <si>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</si>
  <si>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</si>
  <si>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</si>
  <si>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</si>
  <si>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</si>
  <si>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</si>
  <si>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</si>
  <si>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</si>
  <si>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</si>
  <si>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</si>
  <si>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</si>
  <si>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</si>
  <si>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</si>
  <si>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</si>
  <si>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</si>
  <si>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</si>
  <si>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</si>
  <si>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</si>
  <si>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</si>
  <si>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</si>
  <si>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</si>
  <si>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</si>
  <si>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</si>
  <si>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</si>
  <si>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</si>
  <si>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</si>
  <si>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</si>
  <si>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</si>
  <si>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</si>
  <si>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</si>
  <si>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</si>
  <si>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</si>
  <si>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</si>
  <si>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</si>
  <si>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</si>
  <si>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</si>
  <si>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</si>
  <si>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</si>
  <si>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</si>
  <si>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</si>
  <si>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</si>
  <si>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</si>
  <si>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</si>
  <si>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</si>
  <si>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</si>
  <si>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</si>
  <si>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</si>
  <si>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</si>
  <si>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</si>
  <si>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</si>
  <si>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</si>
  <si>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</si>
  <si>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</si>
  <si>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</si>
  <si>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</si>
  <si>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</si>
  <si>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</si>
  <si>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</si>
  <si>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</si>
  <si>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</si>
  <si>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</si>
  <si>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</si>
  <si>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</si>
  <si>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</si>
  <si>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</si>
  <si>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</si>
  <si>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</si>
  <si>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</si>
  <si>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</si>
  <si>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</si>
  <si>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</si>
  <si>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</si>
  <si>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</si>
  <si>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</si>
  <si>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</si>
  <si>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</si>
  <si>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</si>
  <si>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</si>
  <si>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</si>
  <si>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</si>
  <si>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</si>
  <si>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</si>
  <si>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</si>
  <si>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</si>
  <si>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</si>
  <si>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</si>
  <si>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</si>
  <si>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</si>
  <si>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</si>
  <si>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</si>
  <si>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</si>
  <si>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</si>
  <si>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</si>
  <si>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</si>
  <si>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</si>
  <si>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</si>
  <si>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</si>
  <si>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</si>
  <si>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</si>
  <si>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</si>
  <si>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</si>
  <si>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</si>
  <si>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</si>
  <si>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</si>
  <si>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</si>
  <si>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</si>
  <si>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</si>
  <si>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</si>
  <si>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</si>
  <si>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</si>
  <si>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</si>
  <si>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</si>
  <si>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</si>
  <si>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</si>
  <si>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</si>
  <si>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</si>
  <si>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</si>
  <si>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</si>
  <si>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</si>
  <si>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</si>
  <si>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</si>
  <si>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</si>
  <si>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</si>
  <si>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</si>
  <si>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</si>
  <si>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</si>
  <si>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</si>
  <si>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</si>
  <si>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Governing Board policy number (N/A if no adopted policy exists):</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</si>
  <si>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</si>
  <si>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</si>
  <si>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</si>
  <si>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</si>
  <si>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</si>
  <si>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</si>
  <si>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Does the Charter have a process or policy it follows to establish a targeted (goal) project balance reserve level that the Charter is working to maintain each year? (Yes or No in cell F26) If the Charter has an adopted Governing Board policy, enter the policy number in the box provided (cell G26).</t>
  </si>
  <si>
    <t>Arizona charter schools may operate in a variety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</si>
  <si>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</si>
  <si>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</si>
  <si>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</si>
  <si>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r>
      <t>This line pulls in current year ending balances from the Summar</t>
    </r>
    <r>
      <rPr>
        <sz val="10"/>
        <rFont val="Times New Roman"/>
        <family val="2"/>
      </rPr>
      <t>y tab for all projects.</t>
    </r>
  </si>
  <si>
    <t>Section A
Lines 3.c, through h</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</si>
  <si>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</si>
  <si>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</si>
  <si>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Federal and State projects, line 33</t>
  </si>
  <si>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t>
  </si>
  <si>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</si>
  <si>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</si>
  <si>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</si>
  <si>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</si>
  <si>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</si>
  <si>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</si>
  <si>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</si>
  <si>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</si>
  <si>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</si>
  <si>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</si>
  <si>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Classroom Site Project (from page 3, lines 6 and 8)</t>
  </si>
  <si>
    <t>Federal and State Projects (from page 8, line 33)</t>
  </si>
  <si>
    <t>(1)  Include the value of USDA Commodities on this line (excluding freight), as well as cash received from the USDA instead of commodities.</t>
  </si>
  <si>
    <t xml:space="preserve">     [This amount will be used to determine charter compliance with State matching requirements pursuant to CFR Title 7, §210.17(a).]</t>
  </si>
  <si>
    <t>E.  State Equalization Assistance expended for food service, function 3100</t>
  </si>
  <si>
    <t xml:space="preserve">     Number of 1/2 pint milk units served to children</t>
  </si>
  <si>
    <t>D.  Special Milk Program</t>
  </si>
  <si>
    <t xml:space="preserve">           </t>
  </si>
  <si>
    <t xml:space="preserve">      Total  (must equal total on line 11 above)</t>
  </si>
  <si>
    <t xml:space="preserve">     6. Paid snack</t>
  </si>
  <si>
    <t xml:space="preserve">      Other</t>
  </si>
  <si>
    <t xml:space="preserve">     5. Paid lunch</t>
  </si>
  <si>
    <t xml:space="preserve">      Management fee</t>
  </si>
  <si>
    <t xml:space="preserve">     4. Paid breakfast</t>
  </si>
  <si>
    <t xml:space="preserve">      Food</t>
  </si>
  <si>
    <t xml:space="preserve">     3. Reduced snack</t>
  </si>
  <si>
    <t xml:space="preserve">      Supplies and materials (nonfood)</t>
  </si>
  <si>
    <t xml:space="preserve">     2. Reduced lunch</t>
  </si>
  <si>
    <t xml:space="preserve">      Employee benefits</t>
  </si>
  <si>
    <t xml:space="preserve">     1. Reduced breakfast</t>
  </si>
  <si>
    <t xml:space="preserve">      Classified salaries</t>
  </si>
  <si>
    <t>Adult</t>
  </si>
  <si>
    <t>7-8</t>
  </si>
  <si>
    <t>K-6</t>
  </si>
  <si>
    <t>C.  Meal prices</t>
  </si>
  <si>
    <t>G.  Detail of food service management company expenses</t>
  </si>
  <si>
    <t>* Divide all revenues from a la carte sales by the free lunch reimbursement rate received.</t>
  </si>
  <si>
    <t xml:space="preserve">    c. Other</t>
  </si>
  <si>
    <t xml:space="preserve">    b. Program adults/adult workers</t>
  </si>
  <si>
    <t>F.  Cash balances</t>
  </si>
  <si>
    <t xml:space="preserve">    a. Reimbursable meals only</t>
  </si>
  <si>
    <t>2. Served at other locations</t>
  </si>
  <si>
    <t>Total expenses (lines 7-20)</t>
  </si>
  <si>
    <t>0196 Equipment</t>
  </si>
  <si>
    <t>0190 Capital assets (excluding 0196)</t>
  </si>
  <si>
    <t>1. Served at charter school locations</t>
  </si>
  <si>
    <t>6800 Other expenses (excluding food service mgt. fees)</t>
  </si>
  <si>
    <t>B.  Number of meals served</t>
  </si>
  <si>
    <t>6633 Other food</t>
  </si>
  <si>
    <t>Snacks</t>
  </si>
  <si>
    <t>A la carte*</t>
  </si>
  <si>
    <t>Lunches/suppers</t>
  </si>
  <si>
    <t>Breakfasts</t>
  </si>
  <si>
    <t>6632 USDA commodities (freight only)</t>
  </si>
  <si>
    <t>6631 USDA commodities (excluding freight)</t>
  </si>
  <si>
    <t>A.  Number of operating months</t>
  </si>
  <si>
    <t>6620 Energy</t>
  </si>
  <si>
    <t>6610 General supplies (nonfood items)</t>
  </si>
  <si>
    <t>Total revenue (lines 1-5)</t>
  </si>
  <si>
    <t>6591 Services purchased from other AZ schools or districts</t>
  </si>
  <si>
    <t>4900 Revenue for/on behalf of the school (1)</t>
  </si>
  <si>
    <t xml:space="preserve">6570 Food service management </t>
  </si>
  <si>
    <t xml:space="preserve">          from the federal government through the State</t>
  </si>
  <si>
    <t>6530 Communications</t>
  </si>
  <si>
    <t>4500 Restricted revenue (reimbursement) received</t>
  </si>
  <si>
    <t>6400 Purchased property services</t>
  </si>
  <si>
    <t>1900 Other revenues and gains from local sources</t>
  </si>
  <si>
    <t xml:space="preserve">6200 Personal services—employee benefits </t>
  </si>
  <si>
    <t>1600 Food service</t>
  </si>
  <si>
    <t xml:space="preserve">6100 Personal services—salaries </t>
  </si>
  <si>
    <t>Food Service</t>
  </si>
  <si>
    <t>Report the breakdown of expenses related to the use of a food service management company. The total reported in this table must agree with the amount on line 11.</t>
  </si>
  <si>
    <t>Report the number of half-pint units served to children.</t>
  </si>
  <si>
    <t>Report the charge to children and adults as indicated. Please enter zeros if no charge applies.</t>
  </si>
  <si>
    <t>Report snack meals served after the school day has ended, typically for the purposes of an approved After School Care Snack Program, in this column.</t>
  </si>
  <si>
    <t>Report any food items sold that are not appropriate to include in the breakfast, lunch/supper, or snack column in the a la carte column. Report these as equivalent meal counts by totaling the dollar amount of such sales, and dividing by the free lunch reimbursement rate.</t>
  </si>
  <si>
    <t xml:space="preserve">A la carte </t>
  </si>
  <si>
    <t>Report lunch meals served during an established lunch period, typically for the purposes of an approved USDA National School Lunch Program, in this column. Report supper meals served in the evening for the purposes of an approved USDA Summer Food Service Program, if applicable, in this column.</t>
  </si>
  <si>
    <t>Report breakfast meals served during an established breakfast period, typically for the purposes of an approved USDA School Breakfast Program, in this column.</t>
  </si>
  <si>
    <t>Report the number of all other meals served that were not eligible to be included on lines a or b, including non-program adults.</t>
  </si>
  <si>
    <t>Report the number of meals served to program adults and adult food service workers.</t>
  </si>
  <si>
    <t>Program adults/adult workers</t>
  </si>
  <si>
    <t>Report the number of reimbursable meals served.</t>
  </si>
  <si>
    <t>Reimbursable meals only</t>
  </si>
  <si>
    <t>Meals served at the charter school should include all meals served on the school's premises. Meals served at other locations should include meals served at nearby district schools, private schools, or other charter schools.</t>
  </si>
  <si>
    <t>Report the number of months the Charter's food service program was in session.</t>
  </si>
  <si>
    <t>Report the cost of furniture/equipment or vehicles/transportation equipment purchased for the benefit of the food service program. The items must also have a unit cost of at least $50 and have a useful life of 1 year or more. Items reported here include, but are not limited to, chairs, tables, mixers, and vehicles and equipment used to transport food.</t>
  </si>
  <si>
    <t>0196—Equipment</t>
  </si>
  <si>
    <t>0190—Capital assets (excluding 0196)</t>
  </si>
  <si>
    <t>6800—Other expenses (excluding food service management fees)</t>
  </si>
  <si>
    <t>6633—Other food</t>
  </si>
  <si>
    <t>6632—USDA commodities (freight only)</t>
  </si>
  <si>
    <t>https://www.azed.gov/sites/default/files/2022/09/How%20to%20Complete%20USDA%20Foods%20AFR%20Calculations.pdf</t>
  </si>
  <si>
    <t>6631—USDA commodities (excluding freight)</t>
  </si>
  <si>
    <t>6620—Energy</t>
  </si>
  <si>
    <t>6610—General supplies (nonfood items)</t>
  </si>
  <si>
    <t>Report payments to another school or district within the State for services rendered related to the food service program.</t>
  </si>
  <si>
    <t>6591—Services purchased from other Arizona schools or districts</t>
  </si>
  <si>
    <t>6570—Food service management</t>
  </si>
  <si>
    <t>6530—Communications</t>
  </si>
  <si>
    <t xml:space="preserve">Report the cost of services purchased to rent property or equipment, or to operate, repair, and maintain property owned, rented, or used by the Charter. </t>
  </si>
  <si>
    <t xml:space="preserve">6400—Purchased property services </t>
  </si>
  <si>
    <t>Report the portion of employee benefit expenses for personnel whose salaries have been reported on line 7.</t>
  </si>
  <si>
    <t>6200—Personal services—employee benefits</t>
  </si>
  <si>
    <t>6100—Personal services—salaries</t>
  </si>
  <si>
    <t>4900—Revenue for/on behalf of the school</t>
  </si>
  <si>
    <t>4500—Restricted revenue (reimbursement) received from the federal government through the State</t>
  </si>
  <si>
    <t xml:space="preserve">Report other revenue from local sources not classified elsewhere, including rentals and contributions. </t>
  </si>
  <si>
    <t>1900—Other revenues and gains from local sources</t>
  </si>
  <si>
    <t>1600—Food service</t>
  </si>
  <si>
    <t>Report the amount of interest earned on Food Service cash, investments, and receivables, if applicable.</t>
  </si>
  <si>
    <t>1500—Earnings on investments</t>
  </si>
  <si>
    <t>Adjusted beginning project balance</t>
  </si>
  <si>
    <t>Section F—Number of 
full-time equivalent teachers</t>
  </si>
  <si>
    <t>Adjusted beginning balance</t>
  </si>
  <si>
    <r>
      <t xml:space="preserve">Report the revenue for dispensing food to students and adults, including School Lunch, Regular and Severe Need Breakfast, Special Milk, Reimbursable After School Care Snack, Summer Food, and Child Care Food Programs. This line should include </t>
    </r>
    <r>
      <rPr>
        <b/>
        <sz val="10"/>
        <rFont val="Times New Roman"/>
        <family val="1"/>
      </rPr>
      <t>any</t>
    </r>
    <r>
      <rPr>
        <sz val="10"/>
        <rFont val="Times New Roman"/>
        <family val="1"/>
      </rPr>
      <t xml:space="preserve"> revenue received for the Food Service Program that cannot be attributed to </t>
    </r>
    <r>
      <rPr>
        <b/>
        <sz val="10"/>
        <rFont val="Times New Roman"/>
        <family val="1"/>
      </rPr>
      <t xml:space="preserve">any </t>
    </r>
    <r>
      <rPr>
        <sz val="10"/>
        <rFont val="Times New Roman"/>
        <family val="1"/>
      </rPr>
      <t xml:space="preserve">other revenue line. </t>
    </r>
    <r>
      <rPr>
        <b/>
        <sz val="10"/>
        <rFont val="Times New Roman"/>
        <family val="1"/>
      </rPr>
      <t>Do not include federal reimbursements here, include them on line 4.</t>
    </r>
  </si>
  <si>
    <r>
      <t>Report the value of United States Department of Agriculture (USDA) commodities the Charter received on this line, using the value as set by ADE based on the</t>
    </r>
    <r>
      <rPr>
        <i/>
        <sz val="10"/>
        <rFont val="Times New Roman"/>
        <family val="1"/>
      </rPr>
      <t xml:space="preserve"> November 15th USDA Commodity Pricing Report</t>
    </r>
    <r>
      <rPr>
        <sz val="10"/>
        <rFont val="Times New Roman"/>
        <family val="1"/>
      </rPr>
      <t xml:space="preserve">, </t>
    </r>
    <r>
      <rPr>
        <b/>
        <sz val="10"/>
        <rFont val="Times New Roman"/>
        <family val="1"/>
      </rPr>
      <t>excluding freight</t>
    </r>
    <r>
      <rPr>
        <sz val="10"/>
        <rFont val="Times New Roman"/>
        <family val="1"/>
      </rPr>
      <t xml:space="preserve">. Cash in Lieu of Commodities must also be reported by charter schools receiving cash funds from the USDA Food Distribution </t>
    </r>
    <r>
      <rPr>
        <b/>
        <sz val="10"/>
        <rFont val="Times New Roman"/>
        <family val="1"/>
      </rPr>
      <t>instead</t>
    </r>
    <r>
      <rPr>
        <sz val="10"/>
        <rFont val="Times New Roman"/>
        <family val="2"/>
      </rPr>
      <t xml:space="preserve"> </t>
    </r>
    <r>
      <rPr>
        <sz val="10"/>
        <rFont val="Times New Roman"/>
        <family val="1"/>
      </rPr>
      <t>of commodities.</t>
    </r>
  </si>
  <si>
    <r>
      <rPr>
        <sz val="10"/>
        <rFont val="Times New Roman"/>
        <family val="1"/>
      </rPr>
      <t>Report the salaries for all personnel whose job function is attributed to food service.</t>
    </r>
    <r>
      <rPr>
        <b/>
        <sz val="10"/>
        <rFont val="Times New Roman"/>
        <family val="1"/>
      </rPr>
      <t xml:space="preserve"> For employees performing more than one job function, report only the portion related to food service tasks.</t>
    </r>
  </si>
  <si>
    <r>
      <t xml:space="preserve">Report costs for services provided to assist in transmitting and receiving messages or information related to the food service program </t>
    </r>
    <r>
      <rPr>
        <b/>
        <sz val="10"/>
        <rFont val="Times New Roman"/>
        <family val="1"/>
      </rPr>
      <t>only</t>
    </r>
    <r>
      <rPr>
        <sz val="10"/>
        <rFont val="Times New Roman"/>
        <family val="1"/>
      </rPr>
      <t xml:space="preserve">. This category includes telephone, facsimile services, and postage. </t>
    </r>
    <r>
      <rPr>
        <b/>
        <sz val="10"/>
        <rFont val="Times New Roman"/>
        <family val="1"/>
      </rPr>
      <t>Do not</t>
    </r>
    <r>
      <rPr>
        <sz val="10"/>
        <rFont val="Times New Roman"/>
        <family val="1"/>
      </rPr>
      <t xml:space="preserve"> claim telephone or facsimile expenses unless there are separate phone lines for the food service area. </t>
    </r>
  </si>
  <si>
    <r>
      <t xml:space="preserve">If the Charter contracted with a Food Service Management Company (FSMC), report the total amount charged by the FSMC on this line and </t>
    </r>
    <r>
      <rPr>
        <b/>
        <sz val="10"/>
        <rFont val="Times New Roman"/>
        <family val="1"/>
      </rPr>
      <t>complete the table in section G.</t>
    </r>
  </si>
  <si>
    <r>
      <t xml:space="preserve">Report the cost of purchasing </t>
    </r>
    <r>
      <rPr>
        <b/>
        <sz val="10"/>
        <rFont val="Times New Roman"/>
        <family val="1"/>
      </rPr>
      <t>all</t>
    </r>
    <r>
      <rPr>
        <sz val="10"/>
        <rFont val="Times New Roman"/>
        <family val="1"/>
      </rPr>
      <t xml:space="preserve"> supplies for the operation of the food service program, including freight and tax. </t>
    </r>
    <r>
      <rPr>
        <b/>
        <sz val="10"/>
        <rFont val="Times New Roman"/>
        <family val="1"/>
      </rPr>
      <t>Do not</t>
    </r>
    <r>
      <rPr>
        <sz val="10"/>
        <rFont val="Times New Roman"/>
        <family val="1"/>
      </rPr>
      <t xml:space="preserve"> report any food purchases on this line. </t>
    </r>
  </si>
  <si>
    <r>
      <t xml:space="preserve">Report the cost for utilities (electric, gas, etc.) on this line if there are separate utility meters for the food service area. If one meter serves the cafeteria and classrooms for instance, the utilities expense will be computed as an indirect cost. A 10 percent indirect cost rate will be used for non-district-sponsored charter schools. </t>
    </r>
    <r>
      <rPr>
        <b/>
        <sz val="10"/>
        <rFont val="Times New Roman"/>
        <family val="1"/>
      </rPr>
      <t>Do not report prorated utility bills.</t>
    </r>
  </si>
  <si>
    <r>
      <t xml:space="preserve">Report the value of donated USDA commodities, using the value as set by ADE based on the </t>
    </r>
    <r>
      <rPr>
        <i/>
        <sz val="10"/>
        <rFont val="Times New Roman"/>
        <family val="1"/>
      </rPr>
      <t>November 15th USDA Commodity Pricing Report</t>
    </r>
    <r>
      <rPr>
        <sz val="10"/>
        <rFont val="Times New Roman"/>
        <family val="1"/>
      </rPr>
      <t xml:space="preserve">, excluding freight charges. </t>
    </r>
    <r>
      <rPr>
        <b/>
        <sz val="10"/>
        <rFont val="Times New Roman"/>
        <family val="1"/>
      </rPr>
      <t>Do not include storage and processing charges in this amount</t>
    </r>
    <r>
      <rPr>
        <sz val="10"/>
        <rFont val="Times New Roman"/>
        <family val="1"/>
      </rPr>
      <t>. This amount should equal the value of USDA commodities included on revenue line 5</t>
    </r>
    <r>
      <rPr>
        <b/>
        <sz val="10"/>
        <rFont val="Times New Roman"/>
        <family val="1"/>
      </rPr>
      <t xml:space="preserve">. 
HNS has provided additional guidance on where to obtain the expense amounts to be reported for USDA Commodities at the link below:
</t>
    </r>
  </si>
  <si>
    <r>
      <t>Report the cost of freight for USDA commodities only. Storage charges for USDA commodities are reported on line 18</t>
    </r>
    <r>
      <rPr>
        <sz val="10"/>
        <rFont val="Times New Roman"/>
        <family val="2"/>
      </rPr>
      <t>.</t>
    </r>
  </si>
  <si>
    <r>
      <t xml:space="preserve">Report </t>
    </r>
    <r>
      <rPr>
        <b/>
        <sz val="10"/>
        <rFont val="Times New Roman"/>
        <family val="1"/>
      </rPr>
      <t>all</t>
    </r>
    <r>
      <rPr>
        <sz val="10"/>
        <rFont val="Times New Roman"/>
        <family val="1"/>
      </rPr>
      <t xml:space="preserve"> food purchases on this line </t>
    </r>
    <r>
      <rPr>
        <b/>
        <sz val="10"/>
        <rFont val="Times New Roman"/>
        <family val="1"/>
      </rPr>
      <t>except</t>
    </r>
    <r>
      <rPr>
        <sz val="10"/>
        <rFont val="Times New Roman"/>
        <family val="1"/>
      </rPr>
      <t xml:space="preserve"> USDA commodities. Also report USDA commodities processing charges and the purchase of food with minimal nutritional value on this line.</t>
    </r>
  </si>
  <si>
    <r>
      <t xml:space="preserve">Report all </t>
    </r>
    <r>
      <rPr>
        <b/>
        <sz val="10"/>
        <rFont val="Times New Roman"/>
        <family val="1"/>
      </rPr>
      <t>other</t>
    </r>
    <r>
      <rPr>
        <sz val="10"/>
        <rFont val="Times New Roman"/>
        <family val="1"/>
      </rPr>
      <t xml:space="preserve"> expenses related to the food service program not recorded elsewhere, such as interest on revolving lines of credit, capital leases, etc., on this line. Also, report USDA commodities storage charges on this line. </t>
    </r>
  </si>
  <si>
    <r>
      <t xml:space="preserve">Report the purchase of capital items for the food service area </t>
    </r>
    <r>
      <rPr>
        <b/>
        <sz val="10"/>
        <rFont val="Times New Roman"/>
        <family val="1"/>
      </rPr>
      <t>other</t>
    </r>
    <r>
      <rPr>
        <sz val="10"/>
        <rFont val="Times New Roman"/>
        <family val="1"/>
      </rPr>
      <t xml:space="preserve"> than furniture/equipment and vehicles/transportation equipment. The items purchased under this object code must have a unit cost of at least $5,000 and/or have a life expectancy of 1 year or more. Included on this line would be expenses of at least $5,000 for making improvements to the interior of an existing building. </t>
    </r>
    <r>
      <rPr>
        <b/>
        <sz val="10"/>
        <rFont val="Times New Roman"/>
        <family val="1"/>
      </rPr>
      <t>Food Service monies may not be used to buy land or buildings or erect buildings.</t>
    </r>
  </si>
  <si>
    <r>
      <t xml:space="preserve">Report the amount of State Equalization Assistance spent for food service. This amount will be used to determine charter compliance with the State Matching Requirement pursuant to Code of Federal Regulations Title 7, </t>
    </r>
    <r>
      <rPr>
        <sz val="10"/>
        <rFont val="Calibri"/>
        <family val="2"/>
      </rPr>
      <t>§</t>
    </r>
    <r>
      <rPr>
        <sz val="10"/>
        <rFont val="Times New Roman"/>
        <family val="1"/>
      </rPr>
      <t>210.17(a).</t>
    </r>
  </si>
  <si>
    <t>Complete the Cover, School listing, and Accounting data tabs first. See instructions.</t>
  </si>
  <si>
    <t>G. Detail of food service management company expenses</t>
  </si>
  <si>
    <t>F. Cash balances</t>
  </si>
  <si>
    <t>E. State Equalization Assistance expended for food service, function 3100</t>
  </si>
  <si>
    <t>D. Special milk program</t>
  </si>
  <si>
    <t>C. Meal prices</t>
  </si>
  <si>
    <t>A. Number of operating months</t>
  </si>
  <si>
    <t>B. Number of meals served</t>
  </si>
  <si>
    <t xml:space="preserve">    1910 Rentals</t>
  </si>
  <si>
    <t xml:space="preserve">    1950 Miscellaneous Revenues from Other Schools or Districts</t>
  </si>
  <si>
    <t xml:space="preserve">    1960 Miscellaneous Revenues from Local Governmental Units</t>
  </si>
  <si>
    <t>1910-Rentals</t>
  </si>
  <si>
    <t>1950-Miscellaneous Revenues from Other Schools or Districts</t>
  </si>
  <si>
    <t>1960-Miscellaneous Revenues from Local Governmental Units</t>
  </si>
  <si>
    <t>Charter website link of posted AFR</t>
  </si>
  <si>
    <t>Charter website link</t>
  </si>
  <si>
    <t xml:space="preserve">Charters must assign expenses for Project 1071—English Language Learner and Project 1072—Compensatory Instruction to the following program codes, as applicable, to automatically populate on page 5: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</si>
  <si>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   1.  Function 2220-Improvement of instruction (in objects 6300-6490, 6530-6550, 6580, 6600-6620, 6640-6650, 0196 disbursements, 6740, 6810, and 6890)</t>
  </si>
  <si>
    <t xml:space="preserve">   2.  Function 2230-Library/media Services (in objects 6300-6490, 6530-6550, 6580, 6600-6620, 6640-6650, 0196 disbursements, 6740, 6810, and 6890)</t>
  </si>
  <si>
    <r>
      <t xml:space="preserve">If the AFR is not submitted by October 15, reimbursements for child nutrition will be withheld until an accurate and </t>
    </r>
    <r>
      <rPr>
        <b/>
        <sz val="10"/>
        <rFont val="Times New Roman"/>
        <family val="1"/>
      </rPr>
      <t>complete</t>
    </r>
    <r>
      <rPr>
        <sz val="10"/>
        <rFont val="Times New Roman"/>
        <family val="1"/>
      </rPr>
      <t xml:space="preserve"> AFR is submitted. 
Report only those revenues and expenditures that are attributable to the operation of the Food Service Program. Documentation must be available for all information on this report. If you have any questions about the Food Service Program only, please contact Health &amp; Nutrition Services (HNS) at (602) 542-8700. </t>
    </r>
    <r>
      <rPr>
        <b/>
        <sz val="10"/>
        <rFont val="Times New Roman"/>
        <family val="1"/>
      </rPr>
      <t>Note: Charters that do not participate in the National School Lunch Program do not need to complete this tab.</t>
    </r>
  </si>
  <si>
    <t>1900, 1930, 1980, 1990-Other revenues and gains from local sources</t>
  </si>
  <si>
    <t xml:space="preserve">    1900, 1930, 1980, 1990 Other revenues and gains from local sources</t>
  </si>
  <si>
    <t>Support services-instruction detail (Programs 100-630, excluding 400)</t>
  </si>
  <si>
    <t xml:space="preserve">   1.  Object 6640, functions 1000 and 2230</t>
  </si>
  <si>
    <t>Charters that maintain a website must provide a link on their website to ADE’s website where the Charter’s AFR can be viewed. See the Submission and Publication document for detailed steps to obtain the link from ADE's website. Charters should paste a clickable link on the Cover tab to their school web page where the AFR link was posted.</t>
  </si>
  <si>
    <t>ADE no longer requires schools to send an email to School Finance with a clickable link to its website, if the link is provided in this space.</t>
  </si>
  <si>
    <t>FY 2025</t>
  </si>
  <si>
    <t>We, the Governing Board of the Charter School, hereby certify the Annual Financial Report and School Level Reporting form per A.R.S. §§15-183(E)(6) and 15-904 for Fiscal Year 2025.</t>
  </si>
  <si>
    <t xml:space="preserve">The annual financial report file(s) for FY 2025 uploaded to the Arizona Department of </t>
  </si>
  <si>
    <t xml:space="preserve">    1600  Food service (from Food Service tab, line 2)</t>
  </si>
  <si>
    <t xml:space="preserve">      Total Local Revenue (lines 1-16)</t>
  </si>
  <si>
    <t xml:space="preserve">      Total Intermediate Revenue (lines 18-20)</t>
  </si>
  <si>
    <t xml:space="preserve">      Total State Revenue (lines 22-26)</t>
  </si>
  <si>
    <t xml:space="preserve">      Total Federal Revenue (lines 28-33)</t>
  </si>
  <si>
    <t>Total revenue from all sources (lines 17, 21, 27, and 34)</t>
  </si>
  <si>
    <r>
      <t>Total revenues (lines 1</t>
    </r>
    <r>
      <rPr>
        <sz val="10"/>
        <rFont val="Times New Roman"/>
        <family val="1"/>
      </rPr>
      <t>2</t>
    </r>
    <r>
      <rPr>
        <sz val="10"/>
        <rFont val="Times New Roman"/>
        <family val="2"/>
      </rPr>
      <t xml:space="preserve"> and 1</t>
    </r>
    <r>
      <rPr>
        <sz val="10"/>
        <rFont val="Times New Roman"/>
        <family val="1"/>
      </rPr>
      <t>3</t>
    </r>
    <r>
      <rPr>
        <sz val="10"/>
        <rFont val="Times New Roman"/>
        <family val="2"/>
      </rPr>
      <t>)</t>
    </r>
  </si>
  <si>
    <r>
      <t xml:space="preserve">Total available (lines 10 </t>
    </r>
    <r>
      <rPr>
        <sz val="10"/>
        <rFont val="Times New Roman"/>
        <family val="1"/>
      </rPr>
      <t>or 11,</t>
    </r>
    <r>
      <rPr>
        <sz val="10"/>
        <rFont val="Times New Roman"/>
        <family val="2"/>
      </rPr>
      <t xml:space="preserve"> and 1</t>
    </r>
    <r>
      <rPr>
        <sz val="10"/>
        <rFont val="Times New Roman"/>
        <family val="1"/>
      </rPr>
      <t>4</t>
    </r>
    <r>
      <rPr>
        <sz val="10"/>
        <rFont val="Times New Roman"/>
        <family val="2"/>
      </rPr>
      <t>)</t>
    </r>
  </si>
  <si>
    <r>
      <t>Expenses (</t>
    </r>
    <r>
      <rPr>
        <sz val="10"/>
        <rFont val="Cambria"/>
        <family val="1"/>
      </rPr>
      <t>from lines 6, 7, 8, and 9</t>
    </r>
    <r>
      <rPr>
        <sz val="10"/>
        <rFont val="Times New Roman"/>
        <family val="2"/>
      </rPr>
      <t>)</t>
    </r>
  </si>
  <si>
    <r>
      <t>Ending project balance (line 1</t>
    </r>
    <r>
      <rPr>
        <sz val="10"/>
        <rFont val="Times New Roman"/>
        <family val="1"/>
      </rPr>
      <t>5</t>
    </r>
    <r>
      <rPr>
        <sz val="10"/>
        <rFont val="Times New Roman"/>
        <family val="2"/>
      </rPr>
      <t xml:space="preserve"> minus line 1</t>
    </r>
    <r>
      <rPr>
        <sz val="10"/>
        <rFont val="Times New Roman"/>
        <family val="1"/>
      </rPr>
      <t>6</t>
    </r>
    <r>
      <rPr>
        <sz val="10"/>
        <rFont val="Times New Roman"/>
        <family val="2"/>
      </rPr>
      <t xml:space="preserve">) </t>
    </r>
  </si>
  <si>
    <t>Total available (lines 6 or 7, and 8)</t>
  </si>
  <si>
    <t>Ending project balance  (line 9 minus line 10)</t>
  </si>
  <si>
    <t>July 1, 2024</t>
  </si>
  <si>
    <t>June 30, 2025</t>
  </si>
  <si>
    <t>Check box if the Charter was new and began operations in FY 2025.</t>
  </si>
  <si>
    <t>Average salary of all teachers employed in FY 2025</t>
  </si>
  <si>
    <t>Average salary of all teachers employed in FY 2024</t>
  </si>
  <si>
    <t>Increase in average teacher salary from FY 2024</t>
  </si>
  <si>
    <t xml:space="preserve">     1. Long-term debt outstanding, July 1, 2024</t>
  </si>
  <si>
    <t xml:space="preserve">     2. Long-term debt issued during FY 2025</t>
  </si>
  <si>
    <t xml:space="preserve">     3. Long-term debt retired during FY 2025</t>
  </si>
  <si>
    <t xml:space="preserve">     4. Long-term debt outstanding, June 30, 2025</t>
  </si>
  <si>
    <t xml:space="preserve">     5. Short-term debt outstanding, July 1, 2024</t>
  </si>
  <si>
    <t xml:space="preserve">     6. Short-term debt outstanding, June 30, 2025</t>
  </si>
  <si>
    <t>Investment in capital assets as of June 30, 2025</t>
  </si>
  <si>
    <t>Cash and investments held at June 30, 2025</t>
  </si>
  <si>
    <t>FY 2020 through 
FY 2024
Expenses and other financing uses</t>
  </si>
  <si>
    <t>FY 2025
Expenses and other financing uses</t>
  </si>
  <si>
    <t>7/1/2024</t>
  </si>
  <si>
    <t>6/30/2025</t>
  </si>
  <si>
    <t>2024</t>
  </si>
  <si>
    <t>2025</t>
  </si>
  <si>
    <t>The total reserve balance for FY 2025 is:</t>
  </si>
  <si>
    <t>FY 2024 ending project balance</t>
  </si>
  <si>
    <t>FY 2025 ending project balance</t>
  </si>
  <si>
    <t>Planned to be spent in FY 2026 to support budgeted spending</t>
  </si>
  <si>
    <r>
      <t xml:space="preserve">Maintained for debt retirement </t>
    </r>
    <r>
      <rPr>
        <u/>
        <sz val="10"/>
        <rFont val="Times New Roman"/>
        <family val="1"/>
      </rPr>
      <t>after</t>
    </r>
    <r>
      <rPr>
        <sz val="10"/>
        <rFont val="Times New Roman"/>
        <family val="1"/>
      </rPr>
      <t xml:space="preserve"> FY 2026</t>
    </r>
  </si>
  <si>
    <r>
      <t xml:space="preserve">Maintained for capital projects </t>
    </r>
    <r>
      <rPr>
        <u/>
        <sz val="10"/>
        <rFont val="Times New Roman"/>
        <family val="1"/>
      </rPr>
      <t>after</t>
    </r>
    <r>
      <rPr>
        <sz val="10"/>
        <rFont val="Times New Roman"/>
        <family val="1"/>
      </rPr>
      <t xml:space="preserve"> FY 2026</t>
    </r>
  </si>
  <si>
    <r>
      <t xml:space="preserve">Maintained for retirement contributions </t>
    </r>
    <r>
      <rPr>
        <u/>
        <sz val="10"/>
        <rFont val="Times New Roman"/>
        <family val="1"/>
      </rPr>
      <t>after</t>
    </r>
    <r>
      <rPr>
        <sz val="10"/>
        <rFont val="Times New Roman"/>
        <family val="1"/>
      </rPr>
      <t xml:space="preserve"> FY 2026</t>
    </r>
  </si>
  <si>
    <t>FY 2025 ending project balance details:</t>
  </si>
  <si>
    <t>If question 1 was answered yes, complete the table below to describe the Charter's specific FY 2025 targeted and actual project balance reserve amounts and methods used to establish those targeted balance reserve amounts.</t>
  </si>
  <si>
    <t xml:space="preserve">Targeted FY 2025 project balance reserve amount </t>
  </si>
  <si>
    <t xml:space="preserve">Actual FY 2025 project balance reserve amount </t>
  </si>
  <si>
    <t>The Charter plans to take the following actions related to its ending project balance in FY 2026 and thereafter:</t>
  </si>
  <si>
    <r>
      <t xml:space="preserve">All actual revenues, expenses, and account balances presented on the AFR must agree with the Charter's accounting records as of June 30, 2025. Revenue and expense account codes used in the AFR agree with the </t>
    </r>
    <r>
      <rPr>
        <i/>
        <sz val="10"/>
        <rFont val="Times New Roman"/>
        <family val="1"/>
      </rPr>
      <t>Uniform System of Financial Records for Arizona Charter Schools</t>
    </r>
    <r>
      <rPr>
        <sz val="10"/>
        <rFont val="Times New Roman"/>
        <family val="1"/>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2025 budget that was submitted to ADE.           
Revenues must include cash receipts through June 30, 2025, and accrued revenues received after the end of the fiscal year. Examples of accrued revenues are cost reimbursement and entitlement programs, interest earned on investments, and FY 2025 Classroom Site Project revenues.         
Expenses consist of all expenses incurred during the fiscal year, including expenses for goods and services received on or before June 30, 2025, but not paid for by that date. Examples of items requiring such treatment are included in the USFRCS, pages VI-G-8 and 9.</t>
    </r>
  </si>
  <si>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BSA-21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</si>
  <si>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Report all revenues the Charter received from dispensing food to students and adults. If the Charter participates in the National School Lunch Program and completed the Food Service AFR as required, this amount will populate from revenues, line 2 on the Food Service tab. If the Charter did not collect any revenue from students or adults for food service, enter a 0 value on the line.</t>
  </si>
  <si>
    <t>3200  Restricted,
line 24</t>
  </si>
  <si>
    <t>4100, 4300  Unrestricted/restricted received directly from the federal government, 
line 28</t>
  </si>
  <si>
    <t>Do not include federal impact aid revenues received on this line. These revenues should be reported on line 31 as 4800 federal impact aid.</t>
  </si>
  <si>
    <t>4200, 4500  Unrestricted/restricted received from the federal government through the State, line 29</t>
  </si>
  <si>
    <t>If an ending project balance is reported incorrectly on the FY 2024 AFR, charters should enter the correct amount in the adjusted beginning project balance row, line 11.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</si>
  <si>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row, line 7.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</si>
  <si>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column, lines 14 and 28.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</si>
  <si>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Record amounts expended in FY 202</t>
    </r>
    <r>
      <rPr>
        <sz val="10"/>
        <rFont val="Times New Roman"/>
        <family val="1"/>
      </rPr>
      <t>5</t>
    </r>
    <r>
      <rPr>
        <sz val="10"/>
        <rFont val="Times New Roman"/>
        <family val="2"/>
      </rPr>
      <t xml:space="preserve"> for audit services. 
Nonfederal audit expense incurred in FY 202</t>
    </r>
    <r>
      <rPr>
        <sz val="10"/>
        <rFont val="Times New Roman"/>
        <family val="1"/>
      </rPr>
      <t>5</t>
    </r>
    <r>
      <rPr>
        <sz val="10"/>
        <rFont val="Times New Roman"/>
        <family val="2"/>
      </rPr>
      <t xml:space="preserve"> may be included on the budget for FY 202</t>
    </r>
    <r>
      <rPr>
        <sz val="10"/>
        <rFont val="Times New Roman"/>
        <family val="1"/>
      </rPr>
      <t>7</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1"/>
      </rPr>
      <t>7</t>
    </r>
    <r>
      <rPr>
        <sz val="10"/>
        <rFont val="Times New Roman"/>
        <family val="2"/>
      </rPr>
      <t>, nonfederal audit expenses must be included in the FY 202</t>
    </r>
    <r>
      <rPr>
        <sz val="10"/>
        <rFont val="Times New Roman"/>
        <family val="1"/>
      </rPr>
      <t>5</t>
    </r>
    <r>
      <rPr>
        <sz val="10"/>
        <rFont val="Times New Roman"/>
        <family val="2"/>
      </rPr>
      <t xml:space="preserve"> AFR.  Amounts reported must be amounts actually spent in FY 202</t>
    </r>
    <r>
      <rPr>
        <sz val="10"/>
        <rFont val="Times New Roman"/>
        <family val="1"/>
      </rPr>
      <t>5</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</si>
  <si>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The total of budget and actual federal and State project expenses (project codes 1100 through 1499 on page 9) should be included on line 38.  The total of budgeted and actual expenses on line 38 should agree with the total of federal and State project expenses on line 33 of page 8.</t>
  </si>
  <si>
    <t xml:space="preserve">Enter the total increase in construction in progress for the year ended June 30, 2025.  This amount is not recorded on the capital assets list until the project is completed.  Therefore, it will not appear on the capital assets list as of June 30, 2025.
</t>
  </si>
  <si>
    <t>Enter the total cost of construction in progress as of June 30, 2025.  This amount is not recorded on the capital assets list as of June 30, 2025.</t>
  </si>
  <si>
    <t>Enter the average teacher salary of all teachers employed in FY 2025.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2024 pulls correctly from the prior year AFR.</t>
  </si>
  <si>
    <t>If an ending project balance is reported incorrectly on the FY 2024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</si>
  <si>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Food Service tab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</si>
  <si>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 xml:space="preserve">Enter all known awards to date, awarded both before and after June 30, 2025.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</si>
  <si>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2024
Expenses and Other Financing Uses</t>
  </si>
  <si>
    <t xml:space="preserve">Enter the total FY 2020 through 2024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</si>
  <si>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2025 Expenses and Other Financing Uses</t>
  </si>
  <si>
    <r>
      <t>Enter the total expenses, including property disbursements and debt service payments, and indirect costs transfers-out made for FY 202</t>
    </r>
    <r>
      <rPr>
        <sz val="10"/>
        <color rgb="FFFF0000"/>
        <rFont val="Times New Roman"/>
        <family val="1"/>
      </rPr>
      <t>5</t>
    </r>
    <r>
      <rPr>
        <sz val="10"/>
        <rFont val="Times New Roman"/>
        <family val="2"/>
      </rPr>
      <t xml:space="preserve"> from each COVID project/program listed. If the amount is zero, enter 0. If the specific project/program is not listed, report on line 6, Other COVID-19 federal relief projects.
Total expenses on line 7 should agree to the amount displayed in cell F43.</t>
    </r>
  </si>
  <si>
    <t>Total FY 2025 expenses + indirect costs, debt service, and property disbursements</t>
  </si>
  <si>
    <t xml:space="preserve">Obtain total Attending ADM for FY 2024 and FY 2025 from the unweighted student count in ADE’s BSA-55 report, available on ADE’s website.  </t>
  </si>
  <si>
    <t xml:space="preserve">The beginning balance for each project, at July 1, 2024, automatically pull from the projects' ending balance reported on the FY 2024 AFR. </t>
  </si>
  <si>
    <t>If an ending project balance is reported incorrectly on the FY 2024 AFR, charters should enter the correct amount in the adjusted beginning project balance column on line 17. Only enter an amount on the line if the charter needs to adjust the beginning project balance for any errors or audit adjustments identified in the charter's FY 2024 audit.</t>
  </si>
  <si>
    <t>Report the cash balance (if any) as of July 1, 2025. If there was no cash balance as of July 1, 2025, subtract total expenses from total revenue to determine the cash balance as of June 30, 2025.</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</si>
  <si>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2024 audit. </t>
  </si>
  <si>
    <t xml:space="preserve">Report amounts the Charter plans to spend to support FY 2026 budgeted spending after using all available FY 2026 revenues. Any nonspendable amounts included in reserve such as current prepaid assets should be included in this line if the Charter plans to use them in FY 2026. Otherwise, such nonspendable assets should be included in the amounts reported on the lines below based on the Charter's plan to use them to benefit a future year, as applicable. </t>
  </si>
  <si>
    <t xml:space="preserve">Report accumulated reserve amounts that will not be used to finance current budget year expenses and their intended future purposes on lines 3.c through h. Amounts needed to support current-year (FY 2026) expenditures should have been reported on lines 3.b. See specific instructions for line 3. c through f below. If a specific purpose has not been listed, use lines 3. g and h and indicate the purpose. </t>
  </si>
  <si>
    <t>If the Charter answered question B.1 "Yes," complete this table to describe the Charter's specific FY 2025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Methods used can also include a variety of information.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</si>
  <si>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Enter the total increase in capital assets, by asset classification, recorded in the general ledger and on the capital assets list for the year ended June 30, 2025.  These amounts represent only the assets acquired during the year costing $5,000 or more and, for equipment, having useful lives of 1 year or more. The amount should include assets that were acquired by purchase, leases, or construction for all projects.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</si>
  <si>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Enter the total cost, by asset classification, recorded in the general ledger and on the capital assets list as of June 30, 2025, for items costing $5,000 or more and, for equipment, having useful lives of 1 year or more, including right-of-use assets aquired through leases.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2025.</t>
  </si>
  <si>
    <t>Books, Periodicals, and Instructional Aids (programs 100-630, excluding 400)</t>
  </si>
  <si>
    <t>Page 6, section H, average teacher salary table is not complete. The average salary of all teachers employed in FY 2025 must be recorded on page 6, section H, line 1. New charters must still report an amount on line 1. If a charter was new and began operations in FY 2025, please indicate so by checking the box in K28.</t>
  </si>
  <si>
    <t>Consolidated the separate Food Service AFR into the AFR file.</t>
  </si>
  <si>
    <r>
      <t>Report the reimbursements received from Child Nutrition Programs based on the claims for the reporting year (July 1, 2024</t>
    </r>
    <r>
      <rPr>
        <sz val="10"/>
        <color theme="1"/>
        <rFont val="Calibri"/>
        <family val="2"/>
      </rPr>
      <t>–</t>
    </r>
    <r>
      <rPr>
        <sz val="10"/>
        <color theme="1"/>
        <rFont val="Times New Roman"/>
        <family val="1"/>
      </rPr>
      <t>June 30, 2025). Include all food service programs (School Lunch, Regular and Severe Need Breakfast, Special Milk, Reimbursable After School Care Snack, Summer Food, and Child Care Food Programs).
Report revenues received for Supply Chain Assistance Funds (for schools to purchase unprocessed or minimally processed domestic food products) and for Local Foods for Schools (Arizona's 'Try it Local' Program) for the reporting year (July 1, 2024 - June 30, 2025).</t>
    </r>
  </si>
  <si>
    <t xml:space="preserve">Section A presents the prior year's and current year's ending balances for all projects and provides space for charters to report FY 2025 ending balance details that identify how charters plan to use those monies in future years. </t>
  </si>
  <si>
    <t>Moved adjusted project balance cell from the Summary tab to Page 3.</t>
  </si>
  <si>
    <t>Moved adjusted project balance cell from the Summary tab to Page 4.</t>
  </si>
  <si>
    <t>Moved adjusted project balance cell from the Summary tab to Page 5.</t>
  </si>
  <si>
    <t>https://asuprep.asu.edu/governance/</t>
  </si>
  <si>
    <t>Chairperson</t>
  </si>
  <si>
    <t>Vice Chairperson</t>
  </si>
  <si>
    <t>Treasurer</t>
  </si>
  <si>
    <t>Director</t>
  </si>
  <si>
    <t>Board Member</t>
  </si>
  <si>
    <t>Jrogier@asu.edu</t>
  </si>
  <si>
    <t>Jill Rogier</t>
  </si>
  <si>
    <t>Phillip Netolicky</t>
  </si>
  <si>
    <t>pnetolic@asu.edu</t>
  </si>
  <si>
    <t>Maricopa</t>
  </si>
  <si>
    <t>N/A</t>
  </si>
  <si>
    <t>ASU Preparatory Academy- Polytechnic MS</t>
  </si>
  <si>
    <t>078251000</t>
  </si>
  <si>
    <t>101-004</t>
  </si>
  <si>
    <t>Interest Income</t>
  </si>
  <si>
    <t>Student Activities Fees</t>
  </si>
  <si>
    <t>Tech Fee</t>
  </si>
  <si>
    <t>Tax Credit Donation - Unrestircted</t>
  </si>
  <si>
    <t>Tax Credit Donation - Restircted</t>
  </si>
  <si>
    <t>1710-1</t>
  </si>
  <si>
    <t>1737-1</t>
  </si>
  <si>
    <t>1743-1</t>
  </si>
  <si>
    <t>1752-1</t>
  </si>
  <si>
    <t>1767-1</t>
  </si>
  <si>
    <t>1858-1</t>
  </si>
  <si>
    <t>Before/After Club Fees</t>
  </si>
  <si>
    <t>Contributions and Donations - Without Donor Restrictions</t>
  </si>
  <si>
    <t>Contributions and Donations - With Donor Restrictions</t>
  </si>
  <si>
    <t>In-Kind Services - ASU</t>
  </si>
  <si>
    <t>Private Grant Revenue</t>
  </si>
  <si>
    <t>Refund of Prior Year Expenses</t>
  </si>
  <si>
    <t>State Equalization Assistance</t>
  </si>
  <si>
    <t>Prop 123</t>
  </si>
  <si>
    <t>Prop 301</t>
  </si>
  <si>
    <t>School Safety Program Expansion</t>
  </si>
  <si>
    <t>Title II</t>
  </si>
  <si>
    <t>Title III - ELL</t>
  </si>
  <si>
    <t>IDEA</t>
  </si>
  <si>
    <t>Salaries - General</t>
  </si>
  <si>
    <t>Salaries - Certified Teacher</t>
  </si>
  <si>
    <t>Salaries - Substitutes</t>
  </si>
  <si>
    <t>Salaries - Instructional Assistants</t>
  </si>
  <si>
    <t>Adjunct Salaries - General</t>
  </si>
  <si>
    <t>Salaries - General - Additional Pay</t>
  </si>
  <si>
    <t>Salaries - Certified Teacher - Additional Pay</t>
  </si>
  <si>
    <t>Salaries - Substitutes - Additional Pay</t>
  </si>
  <si>
    <t>Salaries - Instructional Assistants - Additional Pay</t>
  </si>
  <si>
    <t>Salaries - Noncertified Teacher</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</si>
  <si>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</si>
  <si>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</si>
  <si>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</si>
  <si>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</si>
  <si>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</si>
  <si>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</si>
  <si>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</si>
  <si>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</si>
  <si>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</si>
  <si>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</si>
  <si>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</si>
  <si>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</si>
  <si>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</si>
  <si>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</si>
  <si>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</si>
  <si>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</si>
  <si>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</si>
  <si>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</si>
  <si>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</si>
  <si>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</si>
  <si>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</si>
  <si>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</si>
  <si>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</si>
  <si>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</si>
  <si>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</si>
  <si>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</si>
  <si>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Pest Control</t>
  </si>
  <si>
    <t>Nontechnology-Related Repairs and Maintenance</t>
  </si>
  <si>
    <t>Technology-Related Repairs and Maintenance</t>
  </si>
  <si>
    <t>Rentals for land, building and equipment</t>
  </si>
  <si>
    <t>Rental of Computers and Related Equipment</t>
  </si>
  <si>
    <t>Student Transportation Services</t>
  </si>
  <si>
    <t>Property and Casulaty Insurance</t>
  </si>
  <si>
    <t>Telephone and Data</t>
  </si>
  <si>
    <t>Postage and Shipping</t>
  </si>
  <si>
    <t>Printing</t>
  </si>
  <si>
    <t>Tuition</t>
  </si>
  <si>
    <t>Travel - Other</t>
  </si>
  <si>
    <t>Travel - Mileage Reimbursement</t>
  </si>
  <si>
    <t>Referees</t>
  </si>
  <si>
    <t>General Supplies</t>
  </si>
  <si>
    <t>Health Office Supplies</t>
  </si>
  <si>
    <t>Testing and Assessment</t>
  </si>
  <si>
    <t>Natural Gas</t>
  </si>
  <si>
    <t>Electricity</t>
  </si>
  <si>
    <t>Gas and Other Fuel</t>
  </si>
  <si>
    <t>Instructional Materials/Software</t>
  </si>
  <si>
    <t>Textbooks</t>
  </si>
  <si>
    <t>Supplies - Technology-Related</t>
  </si>
  <si>
    <t>Furniture &amp; Equipment under $5,000</t>
  </si>
  <si>
    <t>Depreciation Expense</t>
  </si>
  <si>
    <t>Dues and Fees</t>
  </si>
  <si>
    <t>Software Licensing (Non-Curricular)</t>
  </si>
  <si>
    <t>Bad Debt Expense</t>
  </si>
  <si>
    <t>Miscellaneous Expenses</t>
  </si>
  <si>
    <t>Indirect Costs</t>
  </si>
  <si>
    <t>Account</t>
  </si>
  <si>
    <t>Fund</t>
  </si>
  <si>
    <t>Site</t>
  </si>
  <si>
    <t>The deficit balance of this charter will continue and be funded by surplus from other charters in the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</si>
</sst>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 numFmtId="174" formatCode="#,##0.000_);\(#,##0.000\)"/>
  </numFmts>
  <fonts count="71" x14ac:knownFonts="1">
    <font>
      <sz val="10"/>
      <name val="Times New Roman"/>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sz val="8"/>
      <color rgb="FF000000"/>
      <name val="Arial"/>
      <family val="2"/>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b/>
      <sz val="11"/>
      <color rgb="FFFF0000"/>
      <name val="Times New Roman"/>
      <family val="1"/>
    </font>
    <font>
      <u/>
      <sz val="10"/>
      <name val="Times New Roman"/>
      <family val="1"/>
    </font>
    <font>
      <u/>
      <sz val="10"/>
      <color indexed="12"/>
      <name val="Times New Roman"/>
      <family val="1"/>
    </font>
    <font>
      <sz val="10"/>
      <name val="Times New Roman"/>
      <family val="2"/>
    </font>
    <font>
      <u/>
      <sz val="10"/>
      <color rgb="FF0000FF"/>
      <name val="Times New Roman"/>
      <family val="1"/>
    </font>
    <font>
      <b/>
      <sz val="16"/>
      <name val="Times New Roman"/>
      <family val="1"/>
    </font>
    <font>
      <sz val="10"/>
      <name val="Times New Roman"/>
      <family val="1"/>
    </font>
    <font>
      <sz val="9"/>
      <name val="Times New Roman"/>
      <family val="2"/>
    </font>
    <font>
      <sz val="10"/>
      <color rgb="FF0000FF"/>
      <name val="Times New Roman"/>
      <family val="2"/>
    </font>
    <font>
      <sz val="10"/>
      <color theme="1"/>
      <name val="Calibri"/>
      <family val="2"/>
    </font>
  </fonts>
  <fills count="18">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FF7474"/>
        <bgColor indexed="64"/>
      </patternFill>
    </fill>
    <fill>
      <patternFill patternType="solid">
        <fgColor rgb="FFFFFFCC"/>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style="thin">
        <color auto="1"/>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5">
    <xf numFmtId="0" fontId="0" fillId="0" borderId="0"/>
    <xf numFmtId="9" fontId="64"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8" fillId="0" borderId="0" applyNumberFormat="0" applyFill="0" applyBorder="0">
      <protection locked="0"/>
    </xf>
    <xf numFmtId="0" fontId="4" fillId="0" borderId="0"/>
    <xf numFmtId="0" fontId="15" fillId="0" borderId="0" applyFont="0" applyBorder="0"/>
    <xf numFmtId="0" fontId="3" fillId="0" borderId="0"/>
    <xf numFmtId="0" fontId="3" fillId="0" borderId="0"/>
    <xf numFmtId="0" fontId="4" fillId="0" borderId="0"/>
    <xf numFmtId="0" fontId="47" fillId="0" borderId="0" applyNumberFormat="0" applyFill="0" applyBorder="0">
      <protection locked="0"/>
    </xf>
    <xf numFmtId="0" fontId="64" fillId="0" borderId="0"/>
    <xf numFmtId="0" fontId="8" fillId="0" borderId="0" applyNumberFormat="0" applyFill="0" applyBorder="0">
      <protection locked="0"/>
    </xf>
  </cellStyleXfs>
  <cellXfs count="1014">
    <xf numFmtId="0" fontId="0" fillId="0" borderId="0" xfId="0"/>
    <xf numFmtId="0" fontId="0" fillId="0" borderId="3" xfId="0" applyBorder="1" applyAlignment="1">
      <alignment horizontal="center"/>
    </xf>
    <xf numFmtId="49" fontId="0" fillId="0" borderId="3" xfId="0" applyNumberFormat="1" applyBorder="1" applyAlignment="1">
      <alignment horizontal="center"/>
    </xf>
    <xf numFmtId="0" fontId="5" fillId="0" borderId="0" xfId="0" applyFont="1" applyAlignment="1">
      <alignment horizontal="left"/>
    </xf>
    <xf numFmtId="0" fontId="0" fillId="0" borderId="0" xfId="0" applyAlignment="1">
      <alignment horizontal="center"/>
    </xf>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7" fillId="0" borderId="1" xfId="7" applyFont="1" applyBorder="1" applyProtection="1">
      <protection locked="0"/>
    </xf>
    <xf numFmtId="49" fontId="37" fillId="0" borderId="1" xfId="7" applyNumberFormat="1" applyFont="1" applyBorder="1" applyProtection="1">
      <protection locked="0"/>
    </xf>
    <xf numFmtId="0" fontId="37" fillId="0" borderId="1" xfId="7" applyFont="1" applyBorder="1" applyAlignment="1" applyProtection="1">
      <alignment horizontal="right"/>
      <protection locked="0"/>
    </xf>
    <xf numFmtId="0" fontId="37" fillId="0" borderId="1" xfId="7" applyFont="1" applyBorder="1" applyAlignment="1" applyProtection="1">
      <alignment wrapText="1"/>
      <protection locked="0"/>
    </xf>
    <xf numFmtId="0" fontId="39" fillId="2" borderId="1" xfId="7" applyFont="1" applyFill="1" applyBorder="1" applyAlignment="1" applyProtection="1">
      <alignment horizontal="center"/>
      <protection locked="0"/>
    </xf>
    <xf numFmtId="0" fontId="4" fillId="0" borderId="0" xfId="7" applyProtection="1">
      <protection locked="0"/>
    </xf>
    <xf numFmtId="0" fontId="4" fillId="0" borderId="0" xfId="7" applyAlignment="1" applyProtection="1">
      <alignment horizontal="left" vertical="top"/>
      <protection locked="0"/>
    </xf>
    <xf numFmtId="0" fontId="4" fillId="3" borderId="2" xfId="7" applyFill="1" applyBorder="1" applyAlignment="1" applyProtection="1">
      <alignment horizontal="left" vertical="top"/>
      <protection locked="0"/>
    </xf>
    <xf numFmtId="40" fontId="39" fillId="2" borderId="1" xfId="7" applyNumberFormat="1" applyFont="1" applyFill="1" applyBorder="1" applyAlignment="1" applyProtection="1">
      <alignment horizontal="center"/>
      <protection locked="0"/>
    </xf>
    <xf numFmtId="40" fontId="4" fillId="0" borderId="0" xfId="7" applyNumberFormat="1" applyProtection="1">
      <protection locked="0"/>
    </xf>
    <xf numFmtId="0" fontId="39" fillId="2" borderId="2" xfId="7" applyFont="1" applyFill="1" applyBorder="1" applyAlignment="1" applyProtection="1">
      <alignment horizontal="center"/>
      <protection locked="0"/>
    </xf>
    <xf numFmtId="0" fontId="4" fillId="3" borderId="0" xfId="7" applyFill="1" applyProtection="1">
      <protection locked="0"/>
    </xf>
    <xf numFmtId="0" fontId="4" fillId="3" borderId="0" xfId="7" applyFill="1" applyAlignment="1" applyProtection="1">
      <alignment horizontal="left" vertical="top"/>
      <protection locked="0"/>
    </xf>
    <xf numFmtId="0" fontId="4" fillId="3" borderId="0" xfId="7" applyFill="1" applyAlignment="1" applyProtection="1">
      <alignment horizontal="left"/>
      <protection locked="0"/>
    </xf>
    <xf numFmtId="0" fontId="46"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6" fillId="4" borderId="6" xfId="0" applyFont="1" applyFill="1" applyBorder="1" applyProtection="1">
      <protection locked="0"/>
    </xf>
    <xf numFmtId="168" fontId="54" fillId="0" borderId="7" xfId="12" applyNumberFormat="1" applyFont="1" applyFill="1" applyBorder="1" applyProtection="1"/>
    <xf numFmtId="37" fontId="29" fillId="0" borderId="1" xfId="10" applyNumberFormat="1" applyFont="1" applyBorder="1" applyAlignment="1" applyProtection="1">
      <alignment horizontal="right" vertical="center"/>
      <protection locked="0"/>
    </xf>
    <xf numFmtId="168" fontId="5" fillId="0" borderId="1" xfId="12" applyNumberFormat="1" applyFont="1" applyFill="1" applyBorder="1" applyAlignment="1" applyProtection="1">
      <alignment horizontal="center" wrapText="1"/>
    </xf>
    <xf numFmtId="37" fontId="29" fillId="0" borderId="1" xfId="4" applyNumberFormat="1" applyFont="1" applyFill="1" applyBorder="1" applyProtection="1">
      <protection locked="0"/>
    </xf>
    <xf numFmtId="37" fontId="29" fillId="5" borderId="1" xfId="10" quotePrefix="1" applyNumberFormat="1" applyFont="1" applyFill="1" applyBorder="1" applyProtection="1">
      <protection locked="0"/>
    </xf>
    <xf numFmtId="37" fontId="29" fillId="0" borderId="1" xfId="4" applyNumberFormat="1" applyFont="1" applyFill="1" applyBorder="1" applyAlignment="1" applyProtection="1">
      <alignment wrapText="1"/>
    </xf>
    <xf numFmtId="37" fontId="29" fillId="0" borderId="8" xfId="4" applyNumberFormat="1" applyFont="1" applyFill="1" applyBorder="1" applyProtection="1">
      <protection locked="0"/>
    </xf>
    <xf numFmtId="37" fontId="29" fillId="0" borderId="0" xfId="4" applyNumberFormat="1" applyFont="1" applyFill="1" applyBorder="1" applyProtection="1"/>
    <xf numFmtId="0" fontId="16" fillId="0" borderId="0" xfId="12" applyFont="1" applyFill="1" applyBorder="1" applyProtection="1"/>
    <xf numFmtId="0" fontId="32" fillId="0" borderId="0" xfId="12" applyFont="1" applyFill="1" applyBorder="1" applyProtection="1"/>
    <xf numFmtId="165" fontId="29" fillId="0" borderId="0" xfId="12" applyNumberFormat="1" applyFont="1" applyFill="1" applyBorder="1" applyAlignment="1" applyProtection="1">
      <alignment vertical="center" wrapText="1"/>
    </xf>
    <xf numFmtId="165" fontId="33" fillId="0" borderId="0" xfId="12" applyNumberFormat="1" applyFont="1" applyFill="1" applyBorder="1" applyAlignment="1" applyProtection="1">
      <alignment horizontal="center" vertical="center" wrapText="1"/>
    </xf>
    <xf numFmtId="168" fontId="12" fillId="6" borderId="9" xfId="12" applyNumberFormat="1" applyFont="1" applyFill="1" applyBorder="1" applyAlignment="1" applyProtection="1">
      <alignment horizontal="left"/>
    </xf>
    <xf numFmtId="165" fontId="29" fillId="6" borderId="4" xfId="12" applyNumberFormat="1" applyFont="1" applyFill="1" applyBorder="1" applyAlignment="1" applyProtection="1">
      <alignment horizontal="left"/>
    </xf>
    <xf numFmtId="37" fontId="29" fillId="0" borderId="1" xfId="10" applyNumberFormat="1" applyFont="1" applyBorder="1" applyProtection="1">
      <protection locked="0"/>
    </xf>
    <xf numFmtId="168" fontId="12" fillId="6" borderId="4" xfId="12" applyNumberFormat="1" applyFont="1" applyFill="1" applyBorder="1" applyAlignment="1" applyProtection="1">
      <alignment horizontal="left"/>
    </xf>
    <xf numFmtId="37" fontId="53" fillId="0" borderId="1" xfId="4" applyNumberFormat="1" applyFont="1" applyFill="1" applyBorder="1" applyAlignment="1" applyProtection="1">
      <alignment horizontal="right"/>
    </xf>
    <xf numFmtId="0" fontId="42" fillId="0" borderId="0" xfId="0" applyFont="1"/>
    <xf numFmtId="37" fontId="50" fillId="4" borderId="1" xfId="0" applyNumberFormat="1" applyFont="1" applyFill="1" applyBorder="1" applyProtection="1">
      <protection locked="0"/>
    </xf>
    <xf numFmtId="37" fontId="50" fillId="4" borderId="5" xfId="0" applyNumberFormat="1" applyFont="1" applyFill="1" applyBorder="1" applyProtection="1">
      <protection locked="0"/>
    </xf>
    <xf numFmtId="37" fontId="50" fillId="0" borderId="1" xfId="0" applyNumberFormat="1" applyFont="1" applyBorder="1" applyProtection="1">
      <protection locked="0"/>
    </xf>
    <xf numFmtId="37" fontId="50" fillId="4" borderId="10" xfId="0" applyNumberFormat="1" applyFont="1" applyFill="1" applyBorder="1" applyProtection="1">
      <protection locked="0"/>
    </xf>
    <xf numFmtId="37" fontId="50" fillId="4" borderId="11" xfId="0" applyNumberFormat="1" applyFont="1" applyFill="1" applyBorder="1" applyProtection="1">
      <protection locked="0"/>
    </xf>
    <xf numFmtId="37" fontId="50" fillId="0" borderId="11" xfId="0" applyNumberFormat="1" applyFont="1" applyBorder="1" applyProtection="1">
      <protection locked="0"/>
    </xf>
    <xf numFmtId="37" fontId="50" fillId="0" borderId="3" xfId="0" applyNumberFormat="1" applyFont="1" applyBorder="1" applyProtection="1">
      <protection locked="0"/>
    </xf>
    <xf numFmtId="3" fontId="50" fillId="0" borderId="3" xfId="0" applyNumberFormat="1" applyFont="1" applyBorder="1" applyProtection="1">
      <protection locked="0"/>
    </xf>
    <xf numFmtId="0" fontId="60" fillId="6" borderId="4" xfId="12" applyFont="1" applyFill="1" applyBorder="1" applyProtection="1"/>
    <xf numFmtId="0" fontId="60" fillId="6" borderId="8" xfId="12" applyFont="1" applyFill="1" applyBorder="1" applyProtection="1"/>
    <xf numFmtId="0" fontId="5" fillId="0" borderId="0" xfId="0" applyFont="1" applyAlignment="1">
      <alignment horizontal="right"/>
    </xf>
    <xf numFmtId="0" fontId="5" fillId="0" borderId="1" xfId="0" applyFont="1" applyBorder="1" applyAlignment="1">
      <alignment horizontal="center"/>
    </xf>
    <xf numFmtId="0" fontId="6" fillId="0" borderId="0" xfId="0" applyFont="1"/>
    <xf numFmtId="0" fontId="0" fillId="0" borderId="0" xfId="0" quotePrefix="1" applyAlignment="1">
      <alignment horizontal="right"/>
    </xf>
    <xf numFmtId="49" fontId="0" fillId="0" borderId="0" xfId="0" applyNumberFormat="1" applyAlignment="1">
      <alignment horizontal="right"/>
    </xf>
    <xf numFmtId="0" fontId="51" fillId="0" borderId="0" xfId="0" applyFont="1"/>
    <xf numFmtId="0" fontId="6"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2"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5" fillId="0" borderId="16" xfId="0" applyFont="1" applyBorder="1"/>
    <xf numFmtId="0" fontId="0" fillId="0" borderId="17" xfId="0" applyBorder="1"/>
    <xf numFmtId="0" fontId="0" fillId="0" borderId="5" xfId="0" applyBorder="1" applyAlignment="1">
      <alignment horizontal="center"/>
    </xf>
    <xf numFmtId="0" fontId="5"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5" fillId="0" borderId="2" xfId="0" applyFont="1" applyBorder="1"/>
    <xf numFmtId="49" fontId="0" fillId="0" borderId="17" xfId="0" applyNumberFormat="1" applyBorder="1" applyAlignment="1">
      <alignment horizontal="right"/>
    </xf>
    <xf numFmtId="10" fontId="50"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5"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0" fontId="7" fillId="0" borderId="0" xfId="0" applyFont="1" applyAlignment="1">
      <alignment horizontal="left"/>
    </xf>
    <xf numFmtId="0" fontId="33" fillId="0" borderId="0" xfId="0" applyFont="1" applyAlignment="1">
      <alignment vertical="center" wrapText="1"/>
    </xf>
    <xf numFmtId="0" fontId="33"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3" fillId="0" borderId="7" xfId="9" applyFont="1" applyBorder="1" applyAlignment="1">
      <alignment horizontal="centerContinuous"/>
    </xf>
    <xf numFmtId="0" fontId="33" fillId="0" borderId="13" xfId="9" applyFont="1" applyBorder="1" applyAlignment="1">
      <alignment horizontal="centerContinuous"/>
    </xf>
    <xf numFmtId="0" fontId="33" fillId="0" borderId="2" xfId="0" applyFont="1" applyBorder="1" applyAlignment="1">
      <alignment horizontal="center"/>
    </xf>
    <xf numFmtId="0" fontId="5" fillId="0" borderId="2" xfId="9" applyFont="1" applyBorder="1"/>
    <xf numFmtId="0" fontId="33" fillId="0" borderId="0" xfId="9" applyFont="1"/>
    <xf numFmtId="0" fontId="33" fillId="0" borderId="14" xfId="9" applyFont="1" applyBorder="1"/>
    <xf numFmtId="0" fontId="0" fillId="0" borderId="15" xfId="9" applyFont="1" applyBorder="1" applyAlignment="1">
      <alignment horizontal="center"/>
    </xf>
    <xf numFmtId="0" fontId="33" fillId="0" borderId="2" xfId="9" applyFont="1" applyBorder="1" applyAlignment="1">
      <alignment horizontal="center"/>
    </xf>
    <xf numFmtId="0" fontId="33" fillId="0" borderId="3" xfId="9" applyFont="1" applyBorder="1"/>
    <xf numFmtId="0" fontId="33" fillId="0" borderId="17" xfId="9" applyFont="1" applyBorder="1"/>
    <xf numFmtId="0" fontId="33" fillId="0" borderId="13" xfId="0" applyFont="1" applyBorder="1"/>
    <xf numFmtId="0" fontId="33" fillId="0" borderId="2" xfId="9" applyFont="1" applyBorder="1"/>
    <xf numFmtId="0" fontId="0" fillId="0" borderId="14" xfId="0" quotePrefix="1" applyBorder="1" applyAlignment="1">
      <alignment horizontal="right"/>
    </xf>
    <xf numFmtId="0" fontId="33" fillId="6" borderId="0" xfId="0" applyFont="1" applyFill="1"/>
    <xf numFmtId="0" fontId="33" fillId="0" borderId="16" xfId="9" applyFont="1" applyBorder="1"/>
    <xf numFmtId="0" fontId="33"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3" fillId="0" borderId="7" xfId="0" applyFont="1" applyBorder="1"/>
    <xf numFmtId="0" fontId="0" fillId="0" borderId="7" xfId="0" quotePrefix="1" applyBorder="1" applyAlignment="1">
      <alignment horizontal="right"/>
    </xf>
    <xf numFmtId="0" fontId="43" fillId="4" borderId="0" xfId="0" applyFont="1" applyFill="1" applyAlignment="1">
      <alignment vertical="center"/>
    </xf>
    <xf numFmtId="0" fontId="33" fillId="0" borderId="3" xfId="0" applyFont="1" applyBorder="1"/>
    <xf numFmtId="0" fontId="0" fillId="0" borderId="3" xfId="0" quotePrefix="1" applyBorder="1" applyAlignment="1">
      <alignment horizontal="right"/>
    </xf>
    <xf numFmtId="0" fontId="5" fillId="0" borderId="3" xfId="0" applyFont="1" applyBorder="1" applyAlignment="1">
      <alignment vertical="center"/>
    </xf>
    <xf numFmtId="0" fontId="5" fillId="0" borderId="12" xfId="0" applyFont="1" applyBorder="1" applyAlignment="1">
      <alignment vertical="center"/>
    </xf>
    <xf numFmtId="0" fontId="5" fillId="0" borderId="7"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44" fillId="0" borderId="0" xfId="0" applyFont="1" applyAlignment="1">
      <alignment vertical="center"/>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0" borderId="3" xfId="0" applyNumberFormat="1" applyBorder="1"/>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3" fillId="0" borderId="3" xfId="9" applyNumberFormat="1" applyFont="1" applyBorder="1" applyAlignment="1">
      <alignment horizontal="right"/>
    </xf>
    <xf numFmtId="38" fontId="0" fillId="5" borderId="5" xfId="0" applyNumberFormat="1" applyFill="1" applyBorder="1" applyAlignment="1">
      <alignment horizontal="center"/>
    </xf>
    <xf numFmtId="167" fontId="33" fillId="0" borderId="0" xfId="9" applyNumberFormat="1" applyFont="1" applyAlignment="1">
      <alignment horizontal="left"/>
    </xf>
    <xf numFmtId="168" fontId="33"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3"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50" fillId="4" borderId="10" xfId="0" applyNumberFormat="1" applyFont="1" applyFill="1" applyBorder="1"/>
    <xf numFmtId="49" fontId="0" fillId="0" borderId="3" xfId="0" applyNumberFormat="1" applyBorder="1" applyAlignment="1">
      <alignment horizontal="centerContinuous"/>
    </xf>
    <xf numFmtId="0" fontId="5" fillId="0" borderId="0" xfId="0" applyFont="1" applyAlignment="1">
      <alignment horizontal="centerContinuous"/>
    </xf>
    <xf numFmtId="37" fontId="50" fillId="0" borderId="3" xfId="0" applyNumberFormat="1" applyFont="1" applyBorder="1"/>
    <xf numFmtId="49" fontId="31" fillId="6" borderId="0" xfId="6" applyNumberFormat="1" applyFont="1" applyFill="1" applyProtection="1"/>
    <xf numFmtId="0" fontId="31"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2" fillId="4" borderId="0" xfId="0" applyFont="1" applyFill="1"/>
    <xf numFmtId="0" fontId="0" fillId="0" borderId="0" xfId="0" quotePrefix="1"/>
    <xf numFmtId="37" fontId="50" fillId="0" borderId="11" xfId="0" applyNumberFormat="1" applyFont="1" applyBorder="1"/>
    <xf numFmtId="37" fontId="50" fillId="4" borderId="18" xfId="0" applyNumberFormat="1" applyFont="1" applyFill="1" applyBorder="1"/>
    <xf numFmtId="37" fontId="0" fillId="0" borderId="0" xfId="0" applyNumberFormat="1" applyAlignment="1">
      <alignment horizontal="right"/>
    </xf>
    <xf numFmtId="0" fontId="6" fillId="0" borderId="10" xfId="0" applyFont="1" applyBorder="1" applyAlignment="1">
      <alignment horizontal="center" wrapText="1"/>
    </xf>
    <xf numFmtId="0" fontId="6" fillId="0" borderId="15" xfId="0" applyFont="1" applyBorder="1" applyAlignment="1">
      <alignment horizontal="center" wrapText="1"/>
    </xf>
    <xf numFmtId="0" fontId="6" fillId="0" borderId="5" xfId="0" applyFont="1" applyBorder="1" applyAlignment="1">
      <alignment horizontal="center" wrapText="1"/>
    </xf>
    <xf numFmtId="37" fontId="50" fillId="4" borderId="11" xfId="0" applyNumberFormat="1" applyFont="1" applyFill="1" applyBorder="1"/>
    <xf numFmtId="0" fontId="59"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1" fillId="0" borderId="0" xfId="6" applyFont="1" applyProtection="1"/>
    <xf numFmtId="0" fontId="8" fillId="6" borderId="0" xfId="6" applyFill="1" applyProtection="1"/>
    <xf numFmtId="0" fontId="7" fillId="0" borderId="0" xfId="0" applyFont="1"/>
    <xf numFmtId="37" fontId="0" fillId="0" borderId="19" xfId="0" applyNumberFormat="1" applyBorder="1"/>
    <xf numFmtId="49" fontId="17" fillId="0" borderId="0" xfId="0" applyNumberFormat="1" applyFont="1" applyAlignment="1">
      <alignment horizontal="right"/>
    </xf>
    <xf numFmtId="3" fontId="50" fillId="0" borderId="4" xfId="0" applyNumberFormat="1" applyFont="1" applyBorder="1"/>
    <xf numFmtId="0" fontId="31" fillId="0" borderId="0" xfId="0" applyFont="1"/>
    <xf numFmtId="3" fontId="50"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50" fillId="4" borderId="19" xfId="0" applyNumberFormat="1" applyFont="1" applyFill="1" applyBorder="1"/>
    <xf numFmtId="0" fontId="14" fillId="0" borderId="0" xfId="0" applyFont="1"/>
    <xf numFmtId="0" fontId="50" fillId="0" borderId="7" xfId="0" applyFont="1" applyBorder="1"/>
    <xf numFmtId="49" fontId="0" fillId="0" borderId="0" xfId="0" applyNumberFormat="1"/>
    <xf numFmtId="0" fontId="31" fillId="0" borderId="0" xfId="6" applyFont="1" applyFill="1" applyProtection="1"/>
    <xf numFmtId="0" fontId="33" fillId="0" borderId="0" xfId="6" applyFont="1" applyFill="1" applyProtection="1"/>
    <xf numFmtId="0" fontId="12" fillId="6" borderId="1" xfId="6" applyFont="1" applyFill="1" applyBorder="1" applyAlignment="1" applyProtection="1">
      <alignment horizontal="center" wrapText="1"/>
    </xf>
    <xf numFmtId="0" fontId="12"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50"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3" fillId="0" borderId="0" xfId="0" applyNumberFormat="1" applyFont="1" applyAlignment="1">
      <alignment horizontal="right"/>
    </xf>
    <xf numFmtId="49" fontId="33" fillId="0" borderId="0" xfId="0" applyNumberFormat="1" applyFont="1"/>
    <xf numFmtId="37" fontId="50" fillId="4" borderId="21" xfId="0" applyNumberFormat="1" applyFont="1" applyFill="1" applyBorder="1"/>
    <xf numFmtId="49" fontId="0" fillId="0" borderId="3" xfId="0" applyNumberFormat="1" applyBorder="1"/>
    <xf numFmtId="168" fontId="5" fillId="5" borderId="0" xfId="0" applyNumberFormat="1" applyFont="1" applyFill="1"/>
    <xf numFmtId="168" fontId="30" fillId="0" borderId="0" xfId="6" applyNumberFormat="1" applyFont="1" applyFill="1" applyProtection="1"/>
    <xf numFmtId="168" fontId="16" fillId="0" borderId="2" xfId="6" applyNumberFormat="1" applyFont="1" applyFill="1" applyBorder="1" applyProtection="1"/>
    <xf numFmtId="168" fontId="33"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1"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3"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1" fillId="6" borderId="0" xfId="6" applyNumberFormat="1" applyFont="1" applyFill="1" applyBorder="1" applyAlignment="1" applyProtection="1">
      <alignment horizontal="center"/>
    </xf>
    <xf numFmtId="168" fontId="5" fillId="0" borderId="0" xfId="0" applyNumberFormat="1" applyFont="1" applyAlignment="1">
      <alignment horizontal="left"/>
    </xf>
    <xf numFmtId="1" fontId="31"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2"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3" fillId="0" borderId="0" xfId="0" applyNumberFormat="1" applyFont="1" applyAlignment="1">
      <alignment horizontal="left"/>
    </xf>
    <xf numFmtId="168" fontId="18" fillId="5" borderId="0" xfId="0" applyNumberFormat="1" applyFont="1" applyFill="1"/>
    <xf numFmtId="168" fontId="0" fillId="5" borderId="10" xfId="0" applyNumberFormat="1" applyFill="1" applyBorder="1" applyAlignment="1">
      <alignment horizontal="center"/>
    </xf>
    <xf numFmtId="168" fontId="31" fillId="6" borderId="10" xfId="0" applyNumberFormat="1" applyFont="1" applyFill="1" applyBorder="1"/>
    <xf numFmtId="168" fontId="34" fillId="5" borderId="0" xfId="0" applyNumberFormat="1" applyFont="1" applyFill="1"/>
    <xf numFmtId="168" fontId="31" fillId="6" borderId="0" xfId="6" applyNumberFormat="1" applyFont="1" applyFill="1" applyBorder="1" applyProtection="1"/>
    <xf numFmtId="49" fontId="18" fillId="5" borderId="0" xfId="0" applyNumberFormat="1" applyFont="1" applyFill="1" applyAlignment="1">
      <alignment horizontal="right"/>
    </xf>
    <xf numFmtId="168" fontId="31" fillId="6" borderId="15" xfId="0" applyNumberFormat="1" applyFont="1" applyFill="1" applyBorder="1"/>
    <xf numFmtId="49" fontId="0" fillId="5" borderId="0" xfId="0" applyNumberFormat="1" applyFill="1" applyAlignment="1">
      <alignment horizontal="right"/>
    </xf>
    <xf numFmtId="168" fontId="31"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1"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3"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1" fillId="6" borderId="0" xfId="6" applyNumberFormat="1" applyFont="1" applyFill="1" applyProtection="1"/>
    <xf numFmtId="168" fontId="34" fillId="6" borderId="0" xfId="0" applyNumberFormat="1" applyFont="1" applyFill="1"/>
    <xf numFmtId="168" fontId="0" fillId="0" borderId="5" xfId="0" applyNumberFormat="1" applyBorder="1" applyAlignment="1">
      <alignment horizontal="center"/>
    </xf>
    <xf numFmtId="168" fontId="33" fillId="5" borderId="0" xfId="0" quotePrefix="1" applyNumberFormat="1" applyFont="1" applyFill="1" applyAlignment="1">
      <alignment horizontal="right"/>
    </xf>
    <xf numFmtId="49" fontId="29" fillId="5" borderId="0" xfId="0" applyNumberFormat="1" applyFont="1" applyFill="1" applyAlignment="1">
      <alignment horizontal="left"/>
    </xf>
    <xf numFmtId="168" fontId="34" fillId="0" borderId="0" xfId="0" applyNumberFormat="1" applyFont="1" applyAlignment="1">
      <alignment vertical="top" wrapText="1"/>
    </xf>
    <xf numFmtId="168" fontId="41" fillId="6" borderId="0" xfId="6" applyNumberFormat="1" applyFont="1" applyFill="1" applyProtection="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3" fillId="0" borderId="0" xfId="10" applyFont="1" applyAlignment="1">
      <alignment horizontal="right"/>
    </xf>
    <xf numFmtId="168" fontId="29" fillId="5" borderId="0" xfId="10" applyNumberFormat="1" applyFont="1" applyFill="1"/>
    <xf numFmtId="168" fontId="29" fillId="0" borderId="0" xfId="10" applyNumberFormat="1" applyFont="1"/>
    <xf numFmtId="0" fontId="0" fillId="0" borderId="3" xfId="11" applyFont="1" applyBorder="1" applyAlignment="1">
      <alignment horizontal="center"/>
    </xf>
    <xf numFmtId="0" fontId="29" fillId="0" borderId="0" xfId="10" applyFont="1" applyAlignment="1">
      <alignment horizontal="center"/>
    </xf>
    <xf numFmtId="168" fontId="53" fillId="5" borderId="0" xfId="10" applyNumberFormat="1" applyFont="1" applyFill="1" applyAlignment="1">
      <alignment horizontal="center"/>
    </xf>
    <xf numFmtId="168" fontId="5" fillId="5" borderId="0" xfId="10" applyNumberFormat="1" applyFont="1" applyFill="1" applyAlignment="1">
      <alignment horizontal="center"/>
    </xf>
    <xf numFmtId="168" fontId="33" fillId="5" borderId="0" xfId="10" applyNumberFormat="1" applyFont="1" applyFill="1"/>
    <xf numFmtId="168" fontId="33" fillId="0" borderId="0" xfId="10" applyNumberFormat="1" applyFont="1"/>
    <xf numFmtId="0" fontId="33" fillId="0" borderId="0" xfId="10" applyFont="1"/>
    <xf numFmtId="0" fontId="53" fillId="0" borderId="0" xfId="10" applyFont="1" applyAlignment="1">
      <alignment horizontal="left"/>
    </xf>
    <xf numFmtId="0" fontId="29" fillId="0" borderId="0" xfId="10" applyFont="1"/>
    <xf numFmtId="14" fontId="29" fillId="5" borderId="0" xfId="10" applyNumberFormat="1" applyFont="1" applyFill="1" applyAlignment="1">
      <alignment horizontal="left"/>
    </xf>
    <xf numFmtId="168" fontId="29" fillId="5" borderId="13" xfId="10" applyNumberFormat="1" applyFont="1" applyFill="1" applyBorder="1"/>
    <xf numFmtId="168" fontId="53" fillId="5" borderId="1" xfId="10" applyNumberFormat="1" applyFont="1" applyFill="1" applyBorder="1" applyAlignment="1">
      <alignment horizontal="center"/>
    </xf>
    <xf numFmtId="168" fontId="29" fillId="0" borderId="10" xfId="10" applyNumberFormat="1" applyFont="1" applyBorder="1" applyAlignment="1">
      <alignment horizontal="center"/>
    </xf>
    <xf numFmtId="2" fontId="29" fillId="0" borderId="10" xfId="10" applyNumberFormat="1" applyFont="1" applyBorder="1" applyAlignment="1">
      <alignment horizontal="center"/>
    </xf>
    <xf numFmtId="49" fontId="53" fillId="6" borderId="10" xfId="10" applyNumberFormat="1" applyFont="1" applyFill="1" applyBorder="1" applyAlignment="1">
      <alignment horizontal="center" wrapText="1"/>
    </xf>
    <xf numFmtId="168" fontId="29" fillId="0" borderId="15" xfId="10" applyNumberFormat="1" applyFont="1" applyBorder="1" applyAlignment="1">
      <alignment horizontal="center"/>
    </xf>
    <xf numFmtId="2" fontId="29" fillId="0" borderId="15" xfId="10" applyNumberFormat="1" applyFont="1" applyBorder="1" applyAlignment="1">
      <alignment horizontal="center"/>
    </xf>
    <xf numFmtId="49" fontId="29" fillId="0" borderId="15" xfId="10" applyNumberFormat="1" applyFont="1" applyBorder="1" applyAlignment="1">
      <alignment horizontal="center" wrapText="1"/>
    </xf>
    <xf numFmtId="49" fontId="53"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9" fillId="0" borderId="15" xfId="10" applyNumberFormat="1" applyFont="1" applyBorder="1" applyAlignment="1">
      <alignment horizontal="center"/>
    </xf>
    <xf numFmtId="0" fontId="12" fillId="6" borderId="0" xfId="6" applyFont="1" applyFill="1" applyAlignment="1" applyProtection="1">
      <alignment horizontal="center" vertical="center"/>
    </xf>
    <xf numFmtId="1" fontId="29"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9" fillId="5" borderId="12" xfId="10" applyNumberFormat="1" applyFont="1" applyFill="1" applyBorder="1" applyAlignment="1">
      <alignment horizontal="left"/>
    </xf>
    <xf numFmtId="168" fontId="29" fillId="5" borderId="7" xfId="10" applyNumberFormat="1" applyFont="1" applyFill="1" applyBorder="1" applyAlignment="1">
      <alignment horizontal="left"/>
    </xf>
    <xf numFmtId="168" fontId="29" fillId="5" borderId="13" xfId="10" quotePrefix="1" applyNumberFormat="1" applyFont="1" applyFill="1" applyBorder="1" applyAlignment="1">
      <alignment horizontal="right"/>
    </xf>
    <xf numFmtId="37" fontId="29" fillId="0" borderId="1" xfId="10" applyNumberFormat="1" applyFont="1" applyBorder="1" applyAlignment="1">
      <alignment horizontal="right" vertical="center"/>
    </xf>
    <xf numFmtId="37" fontId="29" fillId="8" borderId="1" xfId="10" applyNumberFormat="1" applyFont="1" applyFill="1" applyBorder="1" applyAlignment="1">
      <alignment horizontal="right" vertical="center"/>
    </xf>
    <xf numFmtId="37" fontId="53" fillId="0" borderId="1" xfId="10" applyNumberFormat="1" applyFont="1" applyBorder="1" applyAlignment="1">
      <alignment horizontal="right" vertical="center"/>
    </xf>
    <xf numFmtId="168" fontId="29" fillId="5" borderId="0" xfId="10" quotePrefix="1" applyNumberFormat="1" applyFont="1" applyFill="1" applyAlignment="1">
      <alignment horizontal="left"/>
    </xf>
    <xf numFmtId="168" fontId="29" fillId="5" borderId="2" xfId="10" applyNumberFormat="1" applyFont="1" applyFill="1" applyBorder="1" applyAlignment="1">
      <alignment horizontal="left"/>
    </xf>
    <xf numFmtId="168" fontId="29"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3" fillId="11" borderId="0" xfId="10" applyNumberFormat="1" applyFont="1" applyFill="1"/>
    <xf numFmtId="1" fontId="29" fillId="5" borderId="2" xfId="10" applyNumberFormat="1" applyFont="1" applyFill="1" applyBorder="1" applyAlignment="1">
      <alignment horizontal="left"/>
    </xf>
    <xf numFmtId="1" fontId="29" fillId="5" borderId="0" xfId="10" applyNumberFormat="1" applyFont="1" applyFill="1" applyAlignment="1">
      <alignment horizontal="left"/>
    </xf>
    <xf numFmtId="49" fontId="29" fillId="5" borderId="14" xfId="10" quotePrefix="1" applyNumberFormat="1" applyFont="1" applyFill="1" applyBorder="1" applyAlignment="1">
      <alignment horizontal="right"/>
    </xf>
    <xf numFmtId="49" fontId="29" fillId="5" borderId="0" xfId="10" quotePrefix="1" applyNumberFormat="1" applyFont="1" applyFill="1" applyAlignment="1">
      <alignment horizontal="left"/>
    </xf>
    <xf numFmtId="168" fontId="29" fillId="0" borderId="2" xfId="10" applyNumberFormat="1" applyFont="1" applyBorder="1" applyAlignment="1">
      <alignment horizontal="left"/>
    </xf>
    <xf numFmtId="168" fontId="29" fillId="0" borderId="0" xfId="10" applyNumberFormat="1" applyFont="1" applyAlignment="1">
      <alignment horizontal="left"/>
    </xf>
    <xf numFmtId="0" fontId="52" fillId="6" borderId="2" xfId="6" applyFont="1" applyFill="1" applyBorder="1" applyProtection="1"/>
    <xf numFmtId="168" fontId="29" fillId="6" borderId="0" xfId="10" applyNumberFormat="1" applyFont="1" applyFill="1" applyAlignment="1">
      <alignment horizontal="left"/>
    </xf>
    <xf numFmtId="49" fontId="29" fillId="6" borderId="14" xfId="10" quotePrefix="1" applyNumberFormat="1" applyFont="1" applyFill="1" applyBorder="1" applyAlignment="1">
      <alignment horizontal="right"/>
    </xf>
    <xf numFmtId="168" fontId="29" fillId="0" borderId="16" xfId="10" applyNumberFormat="1" applyFont="1" applyBorder="1" applyAlignment="1">
      <alignment horizontal="left"/>
    </xf>
    <xf numFmtId="168" fontId="29" fillId="0" borderId="3" xfId="10" applyNumberFormat="1" applyFont="1" applyBorder="1" applyAlignment="1">
      <alignment horizontal="left"/>
    </xf>
    <xf numFmtId="49" fontId="29" fillId="5" borderId="17" xfId="10" quotePrefix="1" applyNumberFormat="1" applyFont="1" applyFill="1" applyBorder="1" applyAlignment="1">
      <alignment horizontal="right"/>
    </xf>
    <xf numFmtId="37" fontId="53" fillId="0" borderId="1" xfId="10" applyNumberFormat="1" applyFont="1" applyBorder="1"/>
    <xf numFmtId="49" fontId="29" fillId="5" borderId="0" xfId="10" quotePrefix="1" applyNumberFormat="1" applyFont="1" applyFill="1" applyAlignment="1">
      <alignment horizontal="right"/>
    </xf>
    <xf numFmtId="0" fontId="55" fillId="6" borderId="9" xfId="6" applyFont="1" applyFill="1" applyBorder="1" applyProtection="1"/>
    <xf numFmtId="0" fontId="5" fillId="6" borderId="4" xfId="10" applyFont="1" applyFill="1" applyBorder="1"/>
    <xf numFmtId="0" fontId="5" fillId="6" borderId="8" xfId="10" applyFont="1" applyFill="1" applyBorder="1"/>
    <xf numFmtId="168" fontId="53" fillId="5" borderId="9" xfId="10" applyNumberFormat="1" applyFont="1" applyFill="1" applyBorder="1"/>
    <xf numFmtId="168" fontId="53" fillId="5" borderId="4" xfId="10" applyNumberFormat="1" applyFont="1" applyFill="1" applyBorder="1"/>
    <xf numFmtId="168" fontId="29" fillId="5" borderId="8" xfId="10" applyNumberFormat="1" applyFont="1" applyFill="1" applyBorder="1" applyAlignment="1">
      <alignment horizontal="center"/>
    </xf>
    <xf numFmtId="168" fontId="29" fillId="5" borderId="16" xfId="10" applyNumberFormat="1" applyFont="1" applyFill="1" applyBorder="1"/>
    <xf numFmtId="168" fontId="29" fillId="5" borderId="3" xfId="10" applyNumberFormat="1" applyFont="1" applyFill="1" applyBorder="1"/>
    <xf numFmtId="168" fontId="29" fillId="5" borderId="17" xfId="10" applyNumberFormat="1" applyFont="1" applyFill="1" applyBorder="1"/>
    <xf numFmtId="168" fontId="29" fillId="5" borderId="9" xfId="10" applyNumberFormat="1" applyFont="1" applyFill="1" applyBorder="1"/>
    <xf numFmtId="168" fontId="29" fillId="5" borderId="4" xfId="10" applyNumberFormat="1" applyFont="1" applyFill="1" applyBorder="1"/>
    <xf numFmtId="168" fontId="29" fillId="5" borderId="8" xfId="10" applyNumberFormat="1" applyFont="1" applyFill="1" applyBorder="1"/>
    <xf numFmtId="0" fontId="29" fillId="0" borderId="9" xfId="10" applyFont="1" applyBorder="1"/>
    <xf numFmtId="0" fontId="29" fillId="0" borderId="4" xfId="10" applyFont="1" applyBorder="1"/>
    <xf numFmtId="168" fontId="29" fillId="0" borderId="8" xfId="10" applyNumberFormat="1" applyFont="1" applyBorder="1"/>
    <xf numFmtId="37" fontId="29" fillId="5" borderId="1" xfId="10" applyNumberFormat="1" applyFont="1" applyFill="1" applyBorder="1"/>
    <xf numFmtId="168" fontId="29" fillId="0" borderId="9" xfId="10" applyNumberFormat="1" applyFont="1" applyBorder="1"/>
    <xf numFmtId="168" fontId="29" fillId="0" borderId="4" xfId="10" applyNumberFormat="1" applyFont="1" applyBorder="1"/>
    <xf numFmtId="168" fontId="29" fillId="5" borderId="12" xfId="10" applyNumberFormat="1" applyFont="1" applyFill="1" applyBorder="1"/>
    <xf numFmtId="168" fontId="29" fillId="5" borderId="7" xfId="10" applyNumberFormat="1" applyFont="1" applyFill="1" applyBorder="1"/>
    <xf numFmtId="168" fontId="29" fillId="0" borderId="13" xfId="10" applyNumberFormat="1" applyFont="1" applyBorder="1"/>
    <xf numFmtId="0" fontId="52" fillId="6" borderId="9" xfId="6" applyFont="1" applyFill="1" applyBorder="1" applyProtection="1"/>
    <xf numFmtId="168" fontId="29" fillId="6" borderId="4" xfId="10" applyNumberFormat="1" applyFont="1" applyFill="1" applyBorder="1"/>
    <xf numFmtId="168" fontId="29" fillId="6" borderId="8" xfId="10" applyNumberFormat="1" applyFont="1" applyFill="1" applyBorder="1"/>
    <xf numFmtId="38" fontId="29" fillId="0" borderId="0" xfId="10" applyNumberFormat="1" applyFont="1" applyAlignment="1">
      <alignment horizontal="right" vertical="center"/>
    </xf>
    <xf numFmtId="168" fontId="29" fillId="5" borderId="0" xfId="10" quotePrefix="1" applyNumberFormat="1" applyFont="1" applyFill="1"/>
    <xf numFmtId="168" fontId="29" fillId="5" borderId="9" xfId="10" quotePrefix="1" applyNumberFormat="1" applyFont="1" applyFill="1" applyBorder="1"/>
    <xf numFmtId="37" fontId="29" fillId="0" borderId="1" xfId="10" applyNumberFormat="1" applyFont="1" applyBorder="1" applyAlignment="1">
      <alignment horizontal="right"/>
    </xf>
    <xf numFmtId="0" fontId="29" fillId="0" borderId="0" xfId="4" quotePrefix="1" applyNumberFormat="1" applyFont="1" applyFill="1" applyBorder="1" applyAlignment="1" applyProtection="1">
      <alignment horizontal="left"/>
    </xf>
    <xf numFmtId="168" fontId="29" fillId="0" borderId="0" xfId="10" applyNumberFormat="1" applyFont="1" applyAlignment="1">
      <alignment wrapText="1"/>
    </xf>
    <xf numFmtId="0" fontId="44" fillId="0" borderId="0" xfId="4" quotePrefix="1" applyNumberFormat="1" applyFont="1" applyFill="1" applyBorder="1" applyAlignment="1" applyProtection="1">
      <alignment vertical="center" wrapText="1"/>
    </xf>
    <xf numFmtId="168" fontId="44" fillId="4" borderId="0" xfId="10" applyNumberFormat="1" applyFont="1" applyFill="1" applyAlignment="1">
      <alignment vertical="center" wrapText="1"/>
    </xf>
    <xf numFmtId="168" fontId="44" fillId="0" borderId="0" xfId="10" applyNumberFormat="1" applyFont="1" applyAlignment="1">
      <alignment wrapText="1"/>
    </xf>
    <xf numFmtId="37" fontId="53" fillId="0" borderId="1" xfId="10" applyNumberFormat="1" applyFont="1" applyBorder="1" applyAlignment="1">
      <alignment horizontal="right"/>
    </xf>
    <xf numFmtId="168" fontId="29" fillId="0" borderId="0" xfId="10" applyNumberFormat="1" applyFont="1" applyAlignment="1">
      <alignment horizontal="right"/>
    </xf>
    <xf numFmtId="0" fontId="0" fillId="0" borderId="0" xfId="10" applyFont="1" applyAlignment="1">
      <alignment vertical="top"/>
    </xf>
    <xf numFmtId="0" fontId="33" fillId="0" borderId="0" xfId="10" applyFont="1" applyAlignment="1">
      <alignment vertical="top"/>
    </xf>
    <xf numFmtId="37" fontId="29" fillId="0" borderId="1" xfId="4" applyNumberFormat="1" applyFont="1" applyBorder="1" applyProtection="1">
      <protection locked="0"/>
    </xf>
    <xf numFmtId="172" fontId="29" fillId="0" borderId="1" xfId="4" applyNumberFormat="1" applyFont="1" applyBorder="1" applyProtection="1">
      <protection locked="0"/>
    </xf>
    <xf numFmtId="37" fontId="29" fillId="0" borderId="1" xfId="4" applyNumberFormat="1" applyFont="1" applyBorder="1" applyProtection="1"/>
    <xf numFmtId="0" fontId="5" fillId="0" borderId="0" xfId="13" applyFont="1"/>
    <xf numFmtId="0" fontId="64" fillId="0" borderId="0" xfId="13"/>
    <xf numFmtId="168" fontId="5" fillId="5" borderId="0" xfId="13" applyNumberFormat="1" applyFont="1" applyFill="1" applyAlignment="1">
      <alignment horizontal="left"/>
    </xf>
    <xf numFmtId="0" fontId="12" fillId="6" borderId="0" xfId="6" applyFont="1" applyFill="1" applyAlignment="1" applyProtection="1">
      <alignment horizontal="right"/>
    </xf>
    <xf numFmtId="0" fontId="64" fillId="0" borderId="0" xfId="13" applyAlignment="1">
      <alignment horizontal="right" vertical="center"/>
    </xf>
    <xf numFmtId="37" fontId="27" fillId="5" borderId="0" xfId="13" applyNumberFormat="1" applyFont="1" applyFill="1" applyAlignment="1">
      <alignment horizontal="left" vertical="center"/>
    </xf>
    <xf numFmtId="168" fontId="64" fillId="5" borderId="22" xfId="13" applyNumberFormat="1" applyFill="1" applyBorder="1"/>
    <xf numFmtId="168" fontId="64" fillId="6" borderId="22" xfId="13" applyNumberFormat="1" applyFill="1" applyBorder="1"/>
    <xf numFmtId="168" fontId="52" fillId="6" borderId="22" xfId="6" applyNumberFormat="1" applyFont="1" applyFill="1" applyBorder="1" applyAlignment="1" applyProtection="1">
      <alignment horizontal="center"/>
    </xf>
    <xf numFmtId="37" fontId="48" fillId="0" borderId="23" xfId="13" applyNumberFormat="1" applyFont="1" applyBorder="1" applyAlignment="1">
      <alignment horizontal="center"/>
    </xf>
    <xf numFmtId="37" fontId="48" fillId="0" borderId="10" xfId="13" applyNumberFormat="1" applyFont="1" applyBorder="1" applyAlignment="1">
      <alignment horizontal="center"/>
    </xf>
    <xf numFmtId="37" fontId="48" fillId="5" borderId="24" xfId="13" applyNumberFormat="1" applyFont="1" applyFill="1" applyBorder="1" applyAlignment="1">
      <alignment horizontal="center"/>
    </xf>
    <xf numFmtId="37" fontId="48" fillId="5" borderId="25" xfId="13" applyNumberFormat="1" applyFont="1" applyFill="1" applyBorder="1" applyAlignment="1">
      <alignment horizontal="left"/>
    </xf>
    <xf numFmtId="37" fontId="52" fillId="6" borderId="25" xfId="6" applyNumberFormat="1" applyFont="1" applyFill="1" applyBorder="1" applyAlignment="1" applyProtection="1">
      <alignment horizontal="center" vertical="center"/>
    </xf>
    <xf numFmtId="37" fontId="52" fillId="6" borderId="25" xfId="6" applyNumberFormat="1" applyFont="1" applyFill="1" applyBorder="1" applyAlignment="1" applyProtection="1">
      <alignment horizontal="center"/>
    </xf>
    <xf numFmtId="38" fontId="48" fillId="0" borderId="26" xfId="13" applyNumberFormat="1" applyFont="1" applyBorder="1" applyAlignment="1">
      <alignment horizontal="center"/>
    </xf>
    <xf numFmtId="37" fontId="48" fillId="0" borderId="15" xfId="13" applyNumberFormat="1" applyFont="1" applyBorder="1" applyAlignment="1">
      <alignment horizontal="center"/>
    </xf>
    <xf numFmtId="37" fontId="48" fillId="5" borderId="15" xfId="13" applyNumberFormat="1" applyFont="1" applyFill="1" applyBorder="1" applyAlignment="1">
      <alignment horizontal="center"/>
    </xf>
    <xf numFmtId="37" fontId="48" fillId="5" borderId="27" xfId="13" applyNumberFormat="1" applyFont="1" applyFill="1" applyBorder="1" applyAlignment="1">
      <alignment horizontal="center"/>
    </xf>
    <xf numFmtId="38" fontId="52" fillId="6" borderId="28" xfId="6" applyNumberFormat="1" applyFont="1" applyFill="1" applyBorder="1" applyAlignment="1" applyProtection="1">
      <alignment horizontal="center" vertical="center"/>
    </xf>
    <xf numFmtId="38" fontId="52" fillId="6" borderId="28" xfId="6" applyNumberFormat="1" applyFont="1" applyFill="1" applyBorder="1" applyAlignment="1" applyProtection="1">
      <alignment horizontal="center"/>
    </xf>
    <xf numFmtId="38" fontId="48" fillId="0" borderId="29" xfId="13" applyNumberFormat="1" applyFont="1" applyBorder="1" applyAlignment="1">
      <alignment horizontal="center"/>
    </xf>
    <xf numFmtId="37" fontId="48" fillId="0" borderId="5" xfId="13" applyNumberFormat="1" applyFont="1" applyBorder="1" applyAlignment="1">
      <alignment horizontal="center"/>
    </xf>
    <xf numFmtId="38" fontId="48" fillId="5" borderId="5" xfId="13" applyNumberFormat="1" applyFont="1" applyFill="1" applyBorder="1" applyAlignment="1">
      <alignment horizontal="center"/>
    </xf>
    <xf numFmtId="37" fontId="48" fillId="5" borderId="29" xfId="13" applyNumberFormat="1" applyFont="1" applyFill="1" applyBorder="1" applyAlignment="1">
      <alignment horizontal="left"/>
    </xf>
    <xf numFmtId="37" fontId="48" fillId="7" borderId="1" xfId="13" applyNumberFormat="1" applyFont="1" applyFill="1" applyBorder="1"/>
    <xf numFmtId="37" fontId="48" fillId="7" borderId="5" xfId="13" applyNumberFormat="1" applyFont="1" applyFill="1" applyBorder="1"/>
    <xf numFmtId="37" fontId="48" fillId="7" borderId="16" xfId="13" applyNumberFormat="1" applyFont="1" applyFill="1" applyBorder="1"/>
    <xf numFmtId="37" fontId="49" fillId="8" borderId="9" xfId="13" applyNumberFormat="1" applyFont="1" applyFill="1" applyBorder="1" applyAlignment="1">
      <alignment horizontal="center"/>
    </xf>
    <xf numFmtId="37" fontId="48" fillId="5" borderId="24" xfId="13" applyNumberFormat="1" applyFont="1" applyFill="1" applyBorder="1"/>
    <xf numFmtId="37" fontId="48" fillId="5" borderId="13" xfId="13" applyNumberFormat="1" applyFont="1" applyFill="1" applyBorder="1"/>
    <xf numFmtId="37" fontId="49" fillId="8" borderId="8" xfId="13" applyNumberFormat="1" applyFont="1" applyFill="1" applyBorder="1" applyAlignment="1">
      <alignment horizontal="center"/>
    </xf>
    <xf numFmtId="37" fontId="48" fillId="7" borderId="9" xfId="13" applyNumberFormat="1" applyFont="1" applyFill="1" applyBorder="1"/>
    <xf numFmtId="37" fontId="48" fillId="5" borderId="30" xfId="13" applyNumberFormat="1" applyFont="1" applyFill="1" applyBorder="1"/>
    <xf numFmtId="165" fontId="64" fillId="0" borderId="0" xfId="13" applyNumberFormat="1"/>
    <xf numFmtId="37" fontId="48" fillId="0" borderId="24" xfId="13" applyNumberFormat="1" applyFont="1" applyBorder="1"/>
    <xf numFmtId="37" fontId="48" fillId="5" borderId="26" xfId="13" applyNumberFormat="1" applyFont="1" applyFill="1" applyBorder="1" applyAlignment="1">
      <alignment horizontal="left"/>
    </xf>
    <xf numFmtId="37" fontId="48" fillId="7" borderId="10" xfId="13" applyNumberFormat="1" applyFont="1" applyFill="1" applyBorder="1"/>
    <xf numFmtId="37" fontId="48" fillId="7" borderId="12" xfId="13" applyNumberFormat="1" applyFont="1" applyFill="1" applyBorder="1"/>
    <xf numFmtId="37" fontId="48" fillId="0" borderId="31" xfId="13" applyNumberFormat="1" applyFont="1" applyBorder="1"/>
    <xf numFmtId="37" fontId="48" fillId="5" borderId="32" xfId="13" applyNumberFormat="1" applyFont="1" applyFill="1" applyBorder="1"/>
    <xf numFmtId="42" fontId="64" fillId="5" borderId="3" xfId="13" applyNumberFormat="1" applyFill="1" applyBorder="1"/>
    <xf numFmtId="37" fontId="48" fillId="0" borderId="1" xfId="13" applyNumberFormat="1" applyFont="1" applyBorder="1" applyAlignment="1">
      <alignment horizontal="left"/>
    </xf>
    <xf numFmtId="37" fontId="49" fillId="8" borderId="1" xfId="13" applyNumberFormat="1" applyFont="1" applyFill="1" applyBorder="1" applyAlignment="1">
      <alignment horizontal="center"/>
    </xf>
    <xf numFmtId="37" fontId="48" fillId="0" borderId="17" xfId="13" applyNumberFormat="1" applyFont="1" applyBorder="1"/>
    <xf numFmtId="37" fontId="48" fillId="5" borderId="16" xfId="13" applyNumberFormat="1" applyFont="1" applyFill="1" applyBorder="1"/>
    <xf numFmtId="37" fontId="48" fillId="7" borderId="1" xfId="13" applyNumberFormat="1" applyFont="1" applyFill="1" applyBorder="1" applyAlignment="1">
      <alignment horizontal="center"/>
    </xf>
    <xf numFmtId="37" fontId="48" fillId="0" borderId="9" xfId="13" applyNumberFormat="1" applyFont="1" applyBorder="1" applyAlignment="1">
      <alignment horizontal="left"/>
    </xf>
    <xf numFmtId="37" fontId="48" fillId="0" borderId="1" xfId="13" applyNumberFormat="1" applyFont="1" applyBorder="1"/>
    <xf numFmtId="37" fontId="48" fillId="5" borderId="1" xfId="13" applyNumberFormat="1" applyFont="1" applyFill="1" applyBorder="1"/>
    <xf numFmtId="37" fontId="48" fillId="0" borderId="8" xfId="13" applyNumberFormat="1" applyFont="1" applyBorder="1"/>
    <xf numFmtId="37" fontId="48" fillId="5" borderId="9" xfId="13" applyNumberFormat="1" applyFont="1" applyFill="1" applyBorder="1"/>
    <xf numFmtId="37" fontId="48" fillId="5" borderId="8" xfId="13" applyNumberFormat="1" applyFont="1" applyFill="1" applyBorder="1"/>
    <xf numFmtId="37" fontId="48" fillId="0" borderId="1" xfId="13" applyNumberFormat="1" applyFont="1" applyBorder="1" applyProtection="1">
      <protection locked="0"/>
    </xf>
    <xf numFmtId="0" fontId="0" fillId="0" borderId="0" xfId="11" applyFont="1" applyAlignment="1">
      <alignment horizontal="center"/>
    </xf>
    <xf numFmtId="0" fontId="29" fillId="0" borderId="0" xfId="8" applyFont="1"/>
    <xf numFmtId="37" fontId="29" fillId="0" borderId="0" xfId="8" applyNumberFormat="1" applyFont="1"/>
    <xf numFmtId="0" fontId="53" fillId="0" borderId="0" xfId="8" applyFont="1" applyAlignment="1">
      <alignment horizontal="right"/>
    </xf>
    <xf numFmtId="0" fontId="0" fillId="0" borderId="0" xfId="4" applyNumberFormat="1" applyFont="1" applyBorder="1" applyAlignment="1" applyProtection="1">
      <alignment horizontal="left" vertical="top"/>
    </xf>
    <xf numFmtId="37" fontId="29" fillId="0" borderId="0" xfId="8" applyNumberFormat="1" applyFont="1" applyAlignment="1">
      <alignment horizontal="left"/>
    </xf>
    <xf numFmtId="0" fontId="33" fillId="0" borderId="0" xfId="8" applyFont="1"/>
    <xf numFmtId="37" fontId="53" fillId="0" borderId="0" xfId="8" applyNumberFormat="1" applyFont="1" applyAlignment="1">
      <alignment horizontal="left"/>
    </xf>
    <xf numFmtId="0" fontId="53" fillId="12" borderId="1" xfId="0" applyFont="1" applyFill="1" applyBorder="1" applyAlignment="1">
      <alignment horizontal="center" wrapText="1"/>
    </xf>
    <xf numFmtId="0" fontId="53" fillId="0" borderId="0" xfId="0" applyFont="1" applyAlignment="1">
      <alignment horizontal="left" vertical="top"/>
    </xf>
    <xf numFmtId="0" fontId="53" fillId="0" borderId="0" xfId="0" applyFont="1" applyAlignment="1">
      <alignment wrapText="1"/>
    </xf>
    <xf numFmtId="168" fontId="12" fillId="6" borderId="0" xfId="6" quotePrefix="1" applyNumberFormat="1" applyFont="1" applyFill="1" applyAlignment="1" applyProtection="1">
      <alignment horizontal="right"/>
    </xf>
    <xf numFmtId="0" fontId="0" fillId="0" borderId="0" xfId="0" applyAlignment="1">
      <alignment horizontal="left" vertical="top"/>
    </xf>
    <xf numFmtId="0" fontId="5" fillId="0" borderId="0" xfId="0" quotePrefix="1" applyFont="1" applyAlignment="1">
      <alignment horizontal="left"/>
    </xf>
    <xf numFmtId="0" fontId="56" fillId="0" borderId="0" xfId="0" applyFont="1"/>
    <xf numFmtId="49" fontId="29" fillId="0" borderId="0" xfId="6" applyNumberFormat="1" applyFont="1" applyFill="1" applyAlignment="1" applyProtection="1">
      <alignment horizontal="center" vertical="top"/>
    </xf>
    <xf numFmtId="0" fontId="53" fillId="0" borderId="0" xfId="0" applyFont="1" applyAlignment="1">
      <alignment horizontal="center" wrapText="1"/>
    </xf>
    <xf numFmtId="49" fontId="12"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10" fillId="0" borderId="0" xfId="0" applyFont="1" applyAlignment="1">
      <alignment vertical="top"/>
    </xf>
    <xf numFmtId="0" fontId="45" fillId="0" borderId="0" xfId="0" applyFont="1" applyAlignment="1">
      <alignment vertical="top" wrapText="1"/>
    </xf>
    <xf numFmtId="0" fontId="0" fillId="0" borderId="0" xfId="0" applyAlignment="1">
      <alignment vertical="center" wrapText="1"/>
    </xf>
    <xf numFmtId="0" fontId="19" fillId="0" borderId="1" xfId="6" applyFont="1" applyBorder="1" applyProtection="1"/>
    <xf numFmtId="0" fontId="37" fillId="0" borderId="1" xfId="7" applyFont="1" applyBorder="1" applyAlignment="1">
      <alignment horizontal="left"/>
    </xf>
    <xf numFmtId="0" fontId="37" fillId="0" borderId="0" xfId="7" applyFont="1"/>
    <xf numFmtId="0" fontId="36" fillId="0" borderId="1" xfId="7" applyFont="1" applyBorder="1"/>
    <xf numFmtId="49" fontId="37" fillId="0" borderId="1" xfId="7" applyNumberFormat="1" applyFont="1" applyBorder="1" applyAlignment="1">
      <alignment horizontal="left"/>
    </xf>
    <xf numFmtId="0" fontId="36" fillId="0" borderId="1" xfId="7" applyFont="1" applyBorder="1" applyAlignment="1">
      <alignment horizontal="center"/>
    </xf>
    <xf numFmtId="0" fontId="19" fillId="0" borderId="1" xfId="7" applyFont="1" applyBorder="1" applyAlignment="1">
      <alignment horizontal="center"/>
    </xf>
    <xf numFmtId="0" fontId="19" fillId="0" borderId="1" xfId="7" applyFont="1" applyBorder="1" applyAlignment="1">
      <alignment horizontal="center" wrapText="1"/>
    </xf>
    <xf numFmtId="0" fontId="37" fillId="0" borderId="1" xfId="7" applyFont="1" applyBorder="1"/>
    <xf numFmtId="0" fontId="38" fillId="9" borderId="1" xfId="7" applyFont="1" applyFill="1" applyBorder="1"/>
    <xf numFmtId="49" fontId="37" fillId="0" borderId="1" xfId="7" applyNumberFormat="1" applyFont="1" applyBorder="1"/>
    <xf numFmtId="169" fontId="37" fillId="0" borderId="1" xfId="7" applyNumberFormat="1" applyFont="1" applyBorder="1"/>
    <xf numFmtId="0" fontId="37" fillId="0" borderId="1" xfId="7" applyFont="1" applyBorder="1" applyAlignment="1">
      <alignment horizontal="right"/>
    </xf>
    <xf numFmtId="0" fontId="37" fillId="0" borderId="1" xfId="7" applyFont="1" applyBorder="1" applyAlignment="1">
      <alignment wrapText="1"/>
    </xf>
    <xf numFmtId="0" fontId="14" fillId="0" borderId="1" xfId="7" applyFont="1" applyBorder="1"/>
    <xf numFmtId="0" fontId="37" fillId="9" borderId="1" xfId="7" applyFont="1" applyFill="1" applyBorder="1"/>
    <xf numFmtId="168" fontId="31" fillId="5" borderId="1" xfId="6" applyNumberFormat="1" applyFont="1" applyFill="1" applyBorder="1" applyAlignment="1" applyProtection="1">
      <alignment horizontal="center" vertical="top"/>
    </xf>
    <xf numFmtId="168" fontId="31" fillId="5" borderId="1" xfId="6" applyNumberFormat="1" applyFont="1" applyFill="1" applyBorder="1" applyAlignment="1" applyProtection="1">
      <alignment horizontal="center" vertical="top" wrapText="1"/>
    </xf>
    <xf numFmtId="165" fontId="31" fillId="5" borderId="1" xfId="6" applyNumberFormat="1" applyFont="1" applyFill="1" applyBorder="1" applyAlignment="1" applyProtection="1">
      <alignment horizontal="center" vertical="top"/>
    </xf>
    <xf numFmtId="165" fontId="31" fillId="0" borderId="1" xfId="6" applyNumberFormat="1" applyFont="1" applyFill="1" applyBorder="1" applyAlignment="1" applyProtection="1">
      <alignment horizontal="center" vertical="top"/>
    </xf>
    <xf numFmtId="168" fontId="20" fillId="0" borderId="8" xfId="6" applyNumberFormat="1" applyFont="1" applyBorder="1" applyAlignment="1" applyProtection="1">
      <alignment horizontal="justify" vertical="top" wrapText="1"/>
    </xf>
    <xf numFmtId="0" fontId="0" fillId="5" borderId="0" xfId="0" applyFill="1"/>
    <xf numFmtId="37" fontId="48" fillId="5" borderId="4" xfId="13" applyNumberFormat="1" applyFont="1" applyFill="1" applyBorder="1"/>
    <xf numFmtId="37" fontId="48" fillId="0" borderId="4" xfId="13" applyNumberFormat="1" applyFont="1" applyBorder="1" applyAlignment="1" applyProtection="1">
      <alignment horizontal="right"/>
      <protection locked="0"/>
    </xf>
    <xf numFmtId="37" fontId="48" fillId="0" borderId="9" xfId="13" applyNumberFormat="1" applyFont="1" applyBorder="1" applyAlignment="1" applyProtection="1">
      <alignment horizontal="right"/>
      <protection locked="0"/>
    </xf>
    <xf numFmtId="173" fontId="64" fillId="0" borderId="1" xfId="13" applyNumberFormat="1" applyBorder="1" applyProtection="1">
      <protection locked="0"/>
    </xf>
    <xf numFmtId="0" fontId="28" fillId="0" borderId="0" xfId="0" applyFont="1"/>
    <xf numFmtId="0" fontId="28"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8" fillId="2" borderId="0" xfId="0" applyNumberFormat="1" applyFont="1" applyFill="1"/>
    <xf numFmtId="37" fontId="0" fillId="2" borderId="0" xfId="0" applyNumberFormat="1" applyFill="1"/>
    <xf numFmtId="0" fontId="0" fillId="14" borderId="0" xfId="0" applyFill="1"/>
    <xf numFmtId="37" fontId="28" fillId="14" borderId="0" xfId="0" applyNumberFormat="1" applyFont="1" applyFill="1"/>
    <xf numFmtId="37" fontId="35"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37" fontId="5" fillId="2" borderId="0" xfId="0" applyNumberFormat="1" applyFont="1" applyFill="1"/>
    <xf numFmtId="0" fontId="29" fillId="13" borderId="0" xfId="0" applyFont="1" applyFill="1"/>
    <xf numFmtId="37" fontId="29" fillId="13" borderId="0" xfId="0" applyNumberFormat="1" applyFont="1" applyFill="1"/>
    <xf numFmtId="0" fontId="29" fillId="13" borderId="0" xfId="0" applyFont="1" applyFill="1" applyAlignment="1">
      <alignment horizontal="left"/>
    </xf>
    <xf numFmtId="0" fontId="29" fillId="2" borderId="0" xfId="0" applyFont="1" applyFill="1"/>
    <xf numFmtId="37" fontId="50" fillId="0" borderId="18" xfId="0" applyNumberFormat="1" applyFont="1" applyBorder="1"/>
    <xf numFmtId="0" fontId="12" fillId="6" borderId="0" xfId="6" applyFont="1" applyFill="1" applyProtection="1"/>
    <xf numFmtId="37" fontId="48" fillId="0" borderId="9" xfId="13" applyNumberFormat="1" applyFont="1" applyBorder="1"/>
    <xf numFmtId="49" fontId="64" fillId="0" borderId="3" xfId="13" applyNumberFormat="1" applyBorder="1" applyAlignment="1">
      <alignment horizontal="center"/>
    </xf>
    <xf numFmtId="49" fontId="46" fillId="0" borderId="3" xfId="0" applyNumberFormat="1" applyFont="1" applyBorder="1" applyProtection="1">
      <protection locked="0"/>
    </xf>
    <xf numFmtId="37" fontId="50" fillId="0" borderId="10" xfId="0" applyNumberFormat="1" applyFont="1" applyBorder="1" applyProtection="1">
      <protection locked="0"/>
    </xf>
    <xf numFmtId="37" fontId="29" fillId="5" borderId="1" xfId="10" applyNumberFormat="1" applyFont="1" applyFill="1" applyBorder="1" applyProtection="1">
      <protection locked="0"/>
    </xf>
    <xf numFmtId="168" fontId="5" fillId="0" borderId="0" xfId="6" applyNumberFormat="1" applyFont="1" applyFill="1" applyAlignment="1" applyProtection="1">
      <alignment horizontal="left" vertical="top"/>
    </xf>
    <xf numFmtId="0" fontId="33" fillId="0" borderId="0" xfId="0" applyFont="1"/>
    <xf numFmtId="0" fontId="5" fillId="0" borderId="0" xfId="0" applyFont="1"/>
    <xf numFmtId="37" fontId="50" fillId="0" borderId="1" xfId="0" applyNumberFormat="1" applyFont="1" applyBorder="1"/>
    <xf numFmtId="37" fontId="0" fillId="0" borderId="1" xfId="0" applyNumberFormat="1" applyBorder="1"/>
    <xf numFmtId="37" fontId="50" fillId="4" borderId="1" xfId="0" applyNumberFormat="1" applyFont="1" applyFill="1" applyBorder="1"/>
    <xf numFmtId="10" fontId="50" fillId="4" borderId="1" xfId="0" applyNumberFormat="1" applyFont="1" applyFill="1" applyBorder="1"/>
    <xf numFmtId="37" fontId="50" fillId="0" borderId="15" xfId="0" applyNumberFormat="1" applyFont="1" applyBorder="1"/>
    <xf numFmtId="37" fontId="0" fillId="0" borderId="5" xfId="0" applyNumberFormat="1" applyBorder="1"/>
    <xf numFmtId="37" fontId="50" fillId="0" borderId="5" xfId="0" applyNumberFormat="1" applyFont="1" applyBorder="1"/>
    <xf numFmtId="37" fontId="50" fillId="4" borderId="5" xfId="0" applyNumberFormat="1" applyFont="1" applyFill="1" applyBorder="1"/>
    <xf numFmtId="37" fontId="0" fillId="4" borderId="21" xfId="0" applyNumberFormat="1" applyFill="1" applyBorder="1"/>
    <xf numFmtId="0" fontId="16" fillId="6" borderId="12" xfId="6" applyFont="1" applyFill="1" applyBorder="1" applyProtection="1"/>
    <xf numFmtId="0" fontId="16" fillId="6" borderId="7" xfId="6" applyFont="1" applyFill="1" applyBorder="1" applyProtection="1"/>
    <xf numFmtId="168" fontId="53" fillId="5" borderId="0" xfId="10" applyNumberFormat="1" applyFont="1" applyFill="1"/>
    <xf numFmtId="16" fontId="29" fillId="0" borderId="0" xfId="0" quotePrefix="1" applyNumberFormat="1" applyFont="1" applyAlignment="1">
      <alignment horizontal="right" vertical="top" wrapText="1"/>
    </xf>
    <xf numFmtId="0" fontId="0" fillId="0" borderId="0" xfId="0" quotePrefix="1" applyAlignment="1">
      <alignment horizontal="right" vertical="top"/>
    </xf>
    <xf numFmtId="168" fontId="5" fillId="0" borderId="0" xfId="6" applyNumberFormat="1" applyFont="1" applyFill="1" applyAlignment="1" applyProtection="1">
      <alignment vertical="top"/>
    </xf>
    <xf numFmtId="0" fontId="5" fillId="0" borderId="1" xfId="0" applyFont="1" applyBorder="1" applyAlignment="1">
      <alignment horizontal="left" wrapText="1"/>
    </xf>
    <xf numFmtId="0" fontId="5" fillId="0" borderId="1" xfId="0" applyFont="1"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5"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5" fillId="5" borderId="0" xfId="0" applyNumberFormat="1" applyFont="1" applyFill="1" applyAlignment="1">
      <alignment horizontal="center"/>
    </xf>
    <xf numFmtId="0" fontId="0" fillId="0" borderId="1" xfId="0" applyBorder="1" applyAlignment="1">
      <alignment horizontal="center"/>
    </xf>
    <xf numFmtId="0" fontId="29" fillId="0" borderId="9" xfId="10" applyFont="1" applyBorder="1" applyAlignment="1">
      <alignment horizontal="left"/>
    </xf>
    <xf numFmtId="0" fontId="29" fillId="0" borderId="4" xfId="10" applyFont="1" applyBorder="1" applyAlignment="1">
      <alignment horizontal="left"/>
    </xf>
    <xf numFmtId="168" fontId="29" fillId="5" borderId="0" xfId="10" applyNumberFormat="1" applyFont="1" applyFill="1" applyAlignment="1">
      <alignment horizontal="left"/>
    </xf>
    <xf numFmtId="0" fontId="29" fillId="0" borderId="3" xfId="10" applyFont="1" applyBorder="1" applyAlignment="1">
      <alignment horizontal="center"/>
    </xf>
    <xf numFmtId="0" fontId="64" fillId="0" borderId="3" xfId="13" applyBorder="1" applyAlignment="1">
      <alignment horizontal="center"/>
    </xf>
    <xf numFmtId="0" fontId="0" fillId="0" borderId="0" xfId="0" applyAlignment="1">
      <alignment horizontal="left" vertical="top" wrapText="1"/>
    </xf>
    <xf numFmtId="168" fontId="5" fillId="0" borderId="0" xfId="6" quotePrefix="1" applyNumberFormat="1" applyFont="1" applyFill="1" applyAlignment="1" applyProtection="1">
      <alignment horizontal="left" vertical="top"/>
    </xf>
    <xf numFmtId="0" fontId="12" fillId="0" borderId="13" xfId="6" applyFont="1" applyFill="1" applyBorder="1" applyAlignment="1" applyProtection="1">
      <alignment horizontal="center" vertical="top"/>
    </xf>
    <xf numFmtId="0" fontId="12" fillId="0" borderId="8" xfId="6" applyFont="1" applyFill="1" applyBorder="1" applyAlignment="1" applyProtection="1">
      <alignment horizontal="center" vertical="top"/>
    </xf>
    <xf numFmtId="0" fontId="12" fillId="0" borderId="0" xfId="6" applyFont="1" applyFill="1" applyAlignment="1" applyProtection="1">
      <alignment horizontal="center" vertical="top"/>
    </xf>
    <xf numFmtId="0" fontId="12" fillId="0" borderId="14" xfId="6" applyFont="1" applyFill="1" applyBorder="1" applyAlignment="1" applyProtection="1">
      <alignment horizontal="center" vertical="top"/>
    </xf>
    <xf numFmtId="0" fontId="12" fillId="0" borderId="15"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37" fontId="50" fillId="4" borderId="15" xfId="0" applyNumberFormat="1" applyFont="1" applyFill="1" applyBorder="1"/>
    <xf numFmtId="0" fontId="53" fillId="0" borderId="0" xfId="0" applyFont="1" applyAlignment="1">
      <alignment vertical="center" wrapText="1"/>
    </xf>
    <xf numFmtId="0" fontId="53" fillId="0" borderId="0" xfId="0" applyFont="1" applyAlignment="1">
      <alignment horizontal="center" vertical="center" wrapText="1"/>
    </xf>
    <xf numFmtId="0" fontId="29" fillId="0" borderId="0" xfId="0" applyFont="1" applyAlignment="1">
      <alignment vertical="top" wrapText="1"/>
    </xf>
    <xf numFmtId="37" fontId="0" fillId="0" borderId="9" xfId="0" applyNumberFormat="1" applyBorder="1"/>
    <xf numFmtId="37" fontId="50" fillId="4" borderId="8" xfId="0" applyNumberFormat="1" applyFont="1" applyFill="1" applyBorder="1"/>
    <xf numFmtId="37" fontId="64"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37" fontId="64" fillId="0" borderId="1" xfId="13" applyNumberFormat="1" applyBorder="1"/>
    <xf numFmtId="37" fontId="0" fillId="4" borderId="1" xfId="0" applyNumberFormat="1" applyFill="1" applyBorder="1"/>
    <xf numFmtId="49" fontId="0" fillId="0" borderId="0" xfId="0" applyNumberFormat="1" applyAlignment="1">
      <alignment horizontal="center"/>
    </xf>
    <xf numFmtId="0" fontId="31" fillId="6" borderId="10" xfId="6" applyFont="1" applyFill="1" applyBorder="1" applyAlignment="1" applyProtection="1">
      <alignment horizontal="center"/>
    </xf>
    <xf numFmtId="0" fontId="31" fillId="6" borderId="15" xfId="6" applyFont="1" applyFill="1" applyBorder="1" applyAlignment="1" applyProtection="1">
      <alignment horizontal="center"/>
    </xf>
    <xf numFmtId="0" fontId="31" fillId="6" borderId="5" xfId="6" applyFont="1" applyFill="1" applyBorder="1" applyAlignment="1" applyProtection="1">
      <alignment horizontal="center"/>
    </xf>
    <xf numFmtId="0" fontId="5" fillId="0" borderId="8" xfId="12" applyNumberFormat="1" applyFont="1" applyFill="1" applyBorder="1" applyAlignment="1" applyProtection="1">
      <alignment horizontal="center" vertical="center" wrapText="1"/>
    </xf>
    <xf numFmtId="0" fontId="63" fillId="0" borderId="9" xfId="6" applyFont="1" applyFill="1" applyBorder="1" applyAlignment="1" applyProtection="1">
      <alignment horizontal="left"/>
    </xf>
    <xf numFmtId="37" fontId="0" fillId="0" borderId="3" xfId="0" applyNumberFormat="1" applyBorder="1" applyAlignment="1" applyProtection="1">
      <alignment horizontal="right"/>
      <protection locked="0"/>
    </xf>
    <xf numFmtId="3" fontId="0" fillId="0" borderId="3" xfId="0" applyNumberFormat="1" applyBorder="1" applyProtection="1">
      <protection locked="0"/>
    </xf>
    <xf numFmtId="0" fontId="65" fillId="6" borderId="0" xfId="6" applyFont="1" applyFill="1" applyProtection="1"/>
    <xf numFmtId="37" fontId="0" fillId="5" borderId="19" xfId="0" applyNumberFormat="1" applyFill="1" applyBorder="1"/>
    <xf numFmtId="49" fontId="0" fillId="5" borderId="0" xfId="0" applyNumberFormat="1" applyFill="1" applyAlignment="1">
      <alignment wrapText="1"/>
    </xf>
    <xf numFmtId="4" fontId="0" fillId="0" borderId="0" xfId="0" applyNumberFormat="1" applyAlignment="1">
      <alignment horizontal="center"/>
    </xf>
    <xf numFmtId="4" fontId="0" fillId="0" borderId="1" xfId="0" applyNumberFormat="1" applyBorder="1" applyAlignment="1" applyProtection="1">
      <alignment horizontal="center"/>
      <protection locked="0"/>
    </xf>
    <xf numFmtId="37" fontId="0" fillId="5" borderId="7" xfId="0" applyNumberFormat="1" applyFill="1" applyBorder="1" applyProtection="1">
      <protection locked="0"/>
    </xf>
    <xf numFmtId="37" fontId="0" fillId="5" borderId="4" xfId="0" applyNumberFormat="1" applyFill="1" applyBorder="1" applyProtection="1">
      <protection locked="0"/>
    </xf>
    <xf numFmtId="2" fontId="0" fillId="0" borderId="0" xfId="0" applyNumberFormat="1" applyAlignment="1">
      <alignment horizontal="center"/>
    </xf>
    <xf numFmtId="0" fontId="0" fillId="7" borderId="1" xfId="0" applyFill="1" applyBorder="1"/>
    <xf numFmtId="168" fontId="0" fillId="5" borderId="12" xfId="0" applyNumberFormat="1" applyFill="1" applyBorder="1"/>
    <xf numFmtId="49" fontId="0" fillId="0" borderId="1" xfId="0" applyNumberFormat="1" applyBorder="1" applyAlignment="1">
      <alignment horizontal="center"/>
    </xf>
    <xf numFmtId="49" fontId="0" fillId="0" borderId="8" xfId="0" applyNumberFormat="1" applyBorder="1" applyAlignment="1">
      <alignment horizontal="center"/>
    </xf>
    <xf numFmtId="5" fontId="65" fillId="6" borderId="0" xfId="6" applyNumberFormat="1" applyFont="1" applyFill="1" applyBorder="1" applyProtection="1"/>
    <xf numFmtId="39" fontId="0" fillId="0" borderId="0" xfId="0" applyNumberFormat="1"/>
    <xf numFmtId="168" fontId="17" fillId="5" borderId="0" xfId="0" applyNumberFormat="1" applyFont="1" applyFill="1"/>
    <xf numFmtId="3" fontId="0" fillId="0" borderId="1" xfId="0" applyNumberFormat="1" applyBorder="1" applyProtection="1">
      <protection locked="0"/>
    </xf>
    <xf numFmtId="3" fontId="0" fillId="0" borderId="5" xfId="0" applyNumberFormat="1" applyBorder="1" applyProtection="1">
      <protection locked="0"/>
    </xf>
    <xf numFmtId="37" fontId="0" fillId="5" borderId="0" xfId="0" applyNumberFormat="1" applyFill="1"/>
    <xf numFmtId="3" fontId="0" fillId="0" borderId="10" xfId="0" applyNumberFormat="1" applyBorder="1" applyProtection="1">
      <protection locked="0"/>
    </xf>
    <xf numFmtId="37" fontId="0" fillId="0" borderId="21" xfId="0" applyNumberFormat="1" applyBorder="1"/>
    <xf numFmtId="165" fontId="0" fillId="0" borderId="0" xfId="0" applyNumberFormat="1"/>
    <xf numFmtId="165" fontId="0" fillId="0" borderId="3" xfId="0" applyNumberFormat="1" applyBorder="1" applyProtection="1">
      <protection locked="0"/>
    </xf>
    <xf numFmtId="37" fontId="0" fillId="0" borderId="5" xfId="0" applyNumberFormat="1" applyBorder="1" applyProtection="1">
      <protection locked="0"/>
    </xf>
    <xf numFmtId="0" fontId="0" fillId="0" borderId="1" xfId="0" applyBorder="1" applyAlignment="1" applyProtection="1">
      <alignment vertical="top" wrapText="1"/>
      <protection locked="0"/>
    </xf>
    <xf numFmtId="0" fontId="12" fillId="0" borderId="1" xfId="6" applyFont="1" applyFill="1" applyBorder="1" applyAlignment="1" applyProtection="1">
      <alignment horizontal="center" vertical="top"/>
    </xf>
    <xf numFmtId="0" fontId="32" fillId="6" borderId="0" xfId="6" applyFont="1" applyFill="1" applyBorder="1" applyAlignment="1" applyProtection="1">
      <alignment horizontal="center"/>
    </xf>
    <xf numFmtId="0" fontId="16" fillId="0" borderId="13" xfId="6" applyFont="1" applyFill="1" applyBorder="1" applyProtection="1"/>
    <xf numFmtId="0" fontId="16" fillId="0" borderId="10" xfId="6" applyFont="1" applyFill="1" applyBorder="1" applyProtection="1"/>
    <xf numFmtId="0" fontId="37" fillId="0" borderId="0" xfId="7" applyFont="1" applyAlignment="1">
      <alignment horizontal="center"/>
    </xf>
    <xf numFmtId="37" fontId="0" fillId="9" borderId="10" xfId="0" applyNumberFormat="1" applyFill="1" applyBorder="1" applyAlignment="1">
      <alignment horizontal="center"/>
    </xf>
    <xf numFmtId="37" fontId="0" fillId="9" borderId="15" xfId="0" applyNumberFormat="1" applyFill="1" applyBorder="1" applyAlignment="1">
      <alignment horizontal="center"/>
    </xf>
    <xf numFmtId="0" fontId="12" fillId="0" borderId="8" xfId="6" applyFont="1" applyBorder="1" applyAlignment="1" applyProtection="1">
      <alignment horizontal="center" vertical="top"/>
    </xf>
    <xf numFmtId="37" fontId="0" fillId="10" borderId="35" xfId="0" applyNumberFormat="1" applyFill="1" applyBorder="1" applyAlignment="1">
      <alignment horizontal="center"/>
    </xf>
    <xf numFmtId="37" fontId="0" fillId="10" borderId="12" xfId="0" applyNumberFormat="1" applyFill="1" applyBorder="1"/>
    <xf numFmtId="37" fontId="0" fillId="10" borderId="2" xfId="0" applyNumberFormat="1" applyFill="1" applyBorder="1"/>
    <xf numFmtId="37" fontId="0" fillId="10" borderId="36" xfId="0" applyNumberFormat="1" applyFill="1" applyBorder="1"/>
    <xf numFmtId="37" fontId="0" fillId="10" borderId="9" xfId="0" applyNumberFormat="1" applyFill="1" applyBorder="1"/>
    <xf numFmtId="37" fontId="0" fillId="10" borderId="3" xfId="0" applyNumberFormat="1" applyFill="1" applyBorder="1"/>
    <xf numFmtId="0" fontId="31" fillId="6" borderId="3" xfId="6" applyFont="1" applyFill="1" applyBorder="1" applyProtection="1"/>
    <xf numFmtId="0" fontId="34" fillId="6" borderId="0" xfId="6" applyFont="1" applyFill="1" applyProtection="1"/>
    <xf numFmtId="49" fontId="34" fillId="6" borderId="0" xfId="6" applyNumberFormat="1" applyFont="1" applyFill="1" applyProtection="1"/>
    <xf numFmtId="0" fontId="68" fillId="0" borderId="0" xfId="0" applyFont="1" applyAlignment="1">
      <alignment vertical="top" wrapText="1"/>
    </xf>
    <xf numFmtId="168" fontId="32" fillId="6" borderId="0" xfId="0" applyNumberFormat="1" applyFont="1" applyFill="1" applyAlignment="1">
      <alignment horizontal="center"/>
    </xf>
    <xf numFmtId="0" fontId="32" fillId="6" borderId="0" xfId="6" applyFont="1" applyFill="1" applyAlignment="1" applyProtection="1">
      <alignment horizontal="center"/>
    </xf>
    <xf numFmtId="37" fontId="55" fillId="6" borderId="0" xfId="6" applyNumberFormat="1" applyFont="1" applyFill="1" applyBorder="1" applyAlignment="1" applyProtection="1">
      <alignment horizontal="center" vertical="center"/>
    </xf>
    <xf numFmtId="0" fontId="2" fillId="3" borderId="0" xfId="7" applyFont="1" applyFill="1" applyAlignment="1" applyProtection="1">
      <alignment horizontal="left"/>
      <protection locked="0"/>
    </xf>
    <xf numFmtId="167" fontId="0" fillId="0" borderId="0" xfId="0" quotePrefix="1" applyNumberFormat="1" applyAlignment="1">
      <alignment horizontal="right"/>
    </xf>
    <xf numFmtId="0" fontId="16" fillId="6" borderId="0" xfId="6" applyFont="1" applyFill="1" applyBorder="1" applyAlignment="1" applyProtection="1">
      <alignment horizontal="center"/>
    </xf>
    <xf numFmtId="37" fontId="0" fillId="0" borderId="15" xfId="0" applyNumberFormat="1" applyBorder="1" applyProtection="1">
      <protection locked="0"/>
    </xf>
    <xf numFmtId="37" fontId="67" fillId="0" borderId="1" xfId="0" applyNumberFormat="1" applyFont="1" applyBorder="1" applyProtection="1">
      <protection locked="0"/>
    </xf>
    <xf numFmtId="38" fontId="67" fillId="0" borderId="1" xfId="0" applyNumberFormat="1" applyFont="1" applyBorder="1" applyProtection="1">
      <protection locked="0"/>
    </xf>
    <xf numFmtId="0" fontId="16" fillId="6" borderId="0" xfId="6" applyFont="1" applyFill="1" applyBorder="1" applyProtection="1"/>
    <xf numFmtId="0" fontId="12" fillId="6" borderId="0" xfId="6" applyFont="1" applyFill="1" applyBorder="1" applyProtection="1"/>
    <xf numFmtId="0" fontId="69" fillId="6" borderId="0" xfId="6" applyFont="1" applyFill="1" applyAlignment="1" applyProtection="1">
      <alignment horizontal="right"/>
    </xf>
    <xf numFmtId="0" fontId="69" fillId="6" borderId="0" xfId="6" quotePrefix="1" applyFont="1" applyFill="1" applyAlignment="1" applyProtection="1">
      <alignment horizontal="right"/>
    </xf>
    <xf numFmtId="0" fontId="1" fillId="3" borderId="0" xfId="7" applyFont="1" applyFill="1" applyAlignment="1" applyProtection="1">
      <alignment horizontal="left"/>
      <protection locked="0"/>
    </xf>
    <xf numFmtId="0" fontId="67" fillId="0" borderId="0" xfId="0" applyFont="1"/>
    <xf numFmtId="49" fontId="67" fillId="0" borderId="0" xfId="0" applyNumberFormat="1" applyFont="1" applyAlignment="1">
      <alignment horizontal="right"/>
    </xf>
    <xf numFmtId="37" fontId="67" fillId="4" borderId="1" xfId="0" applyNumberFormat="1" applyFont="1" applyFill="1" applyBorder="1"/>
    <xf numFmtId="167" fontId="0" fillId="0" borderId="34" xfId="0" quotePrefix="1" applyNumberFormat="1" applyBorder="1" applyAlignment="1">
      <alignment horizontal="right"/>
    </xf>
    <xf numFmtId="168" fontId="67" fillId="5" borderId="2" xfId="0" applyNumberFormat="1" applyFont="1" applyFill="1" applyBorder="1"/>
    <xf numFmtId="168" fontId="67" fillId="5" borderId="16" xfId="0" applyNumberFormat="1" applyFont="1" applyFill="1" applyBorder="1"/>
    <xf numFmtId="167" fontId="64" fillId="0" borderId="0" xfId="9" applyNumberFormat="1" applyFont="1" applyAlignment="1">
      <alignment horizontal="right"/>
    </xf>
    <xf numFmtId="167" fontId="64" fillId="0" borderId="34" xfId="9" applyNumberFormat="1" applyFont="1" applyBorder="1" applyAlignment="1">
      <alignment horizontal="right"/>
    </xf>
    <xf numFmtId="167" fontId="64" fillId="0" borderId="0" xfId="9" applyNumberFormat="1" applyFont="1" applyAlignment="1">
      <alignment horizontal="left"/>
    </xf>
    <xf numFmtId="49" fontId="67" fillId="0" borderId="0" xfId="0" applyNumberFormat="1" applyFont="1" applyAlignment="1">
      <alignment horizontal="center"/>
    </xf>
    <xf numFmtId="168" fontId="67" fillId="5" borderId="0" xfId="0" quotePrefix="1" applyNumberFormat="1" applyFont="1" applyFill="1" applyAlignment="1">
      <alignment horizontal="left"/>
    </xf>
    <xf numFmtId="49" fontId="67" fillId="0" borderId="0" xfId="0" applyNumberFormat="1" applyFont="1"/>
    <xf numFmtId="0" fontId="67" fillId="0" borderId="0" xfId="13" applyFont="1"/>
    <xf numFmtId="0" fontId="67" fillId="0" borderId="0" xfId="0" applyFont="1" applyAlignment="1">
      <alignment horizontal="left" vertical="top"/>
    </xf>
    <xf numFmtId="0" fontId="67" fillId="0" borderId="0" xfId="0" quotePrefix="1" applyFont="1" applyAlignment="1">
      <alignment horizontal="left" vertical="top"/>
    </xf>
    <xf numFmtId="168" fontId="5" fillId="0" borderId="0" xfId="6" quotePrefix="1" applyNumberFormat="1" applyFont="1" applyFill="1" applyAlignment="1" applyProtection="1">
      <alignment vertical="top"/>
    </xf>
    <xf numFmtId="0" fontId="67" fillId="0" borderId="0" xfId="0" applyFont="1" applyAlignment="1">
      <alignment vertical="top"/>
    </xf>
    <xf numFmtId="0" fontId="0" fillId="17" borderId="1" xfId="6" applyFont="1" applyFill="1" applyBorder="1" applyAlignment="1" applyProtection="1">
      <alignment vertical="top" wrapText="1"/>
    </xf>
    <xf numFmtId="0" fontId="67" fillId="17" borderId="1" xfId="6" applyFont="1" applyFill="1" applyBorder="1" applyAlignment="1" applyProtection="1">
      <alignment vertical="top" wrapText="1"/>
    </xf>
    <xf numFmtId="168" fontId="67" fillId="5" borderId="0" xfId="10" applyNumberFormat="1" applyFont="1" applyFill="1" applyAlignment="1">
      <alignment horizontal="right"/>
    </xf>
    <xf numFmtId="0" fontId="16" fillId="6" borderId="0" xfId="6" applyFont="1" applyFill="1" applyAlignment="1" applyProtection="1">
      <alignment horizontal="center"/>
    </xf>
    <xf numFmtId="0" fontId="67" fillId="0" borderId="0" xfId="0" applyFont="1" applyAlignment="1">
      <alignment vertical="top" wrapText="1"/>
    </xf>
    <xf numFmtId="0" fontId="0" fillId="0" borderId="1" xfId="0" applyBorder="1" applyProtection="1">
      <protection locked="0"/>
    </xf>
    <xf numFmtId="0" fontId="16" fillId="6" borderId="7" xfId="6" applyFont="1" applyFill="1" applyBorder="1" applyAlignment="1" applyProtection="1">
      <alignment horizontal="center" vertical="center"/>
    </xf>
    <xf numFmtId="37" fontId="67" fillId="0" borderId="1" xfId="0" applyNumberFormat="1" applyFont="1" applyBorder="1"/>
    <xf numFmtId="168" fontId="67" fillId="0" borderId="0" xfId="0" applyNumberFormat="1" applyFont="1"/>
    <xf numFmtId="174" fontId="37" fillId="0" borderId="1" xfId="7" applyNumberFormat="1" applyFont="1" applyBorder="1" applyProtection="1">
      <protection locked="0"/>
    </xf>
    <xf numFmtId="37" fontId="17" fillId="17" borderId="0" xfId="0" applyNumberFormat="1" applyFont="1" applyFill="1" applyAlignment="1">
      <alignment horizontal="left" indent="1"/>
    </xf>
    <xf numFmtId="37" fontId="17" fillId="17" borderId="0" xfId="0" applyNumberFormat="1" applyFont="1" applyFill="1"/>
    <xf numFmtId="37" fontId="67" fillId="17" borderId="0" xfId="0" applyNumberFormat="1" applyFont="1" applyFill="1"/>
    <xf numFmtId="14" fontId="0" fillId="0" borderId="0" xfId="0" applyNumberFormat="1"/>
    <xf numFmtId="0" fontId="5"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0" fillId="5" borderId="1" xfId="0" applyNumberFormat="1" applyFill="1" applyBorder="1" applyAlignment="1">
      <alignment horizontal="justify" vertical="top"/>
    </xf>
    <xf numFmtId="168" fontId="67" fillId="5" borderId="1" xfId="0" applyNumberFormat="1" applyFont="1" applyFill="1" applyBorder="1" applyAlignment="1">
      <alignment horizontal="justify" vertical="top" wrapText="1"/>
    </xf>
    <xf numFmtId="168" fontId="0" fillId="5" borderId="1" xfId="0" applyNumberFormat="1" applyFill="1" applyBorder="1" applyAlignment="1">
      <alignment horizontal="center" vertical="top" wrapText="1"/>
    </xf>
    <xf numFmtId="0" fontId="0" fillId="17" borderId="1" xfId="0" applyFill="1" applyBorder="1" applyAlignment="1">
      <alignment horizontal="center" vertical="top" wrapText="1"/>
    </xf>
    <xf numFmtId="0" fontId="0" fillId="17" borderId="1" xfId="0" applyFill="1" applyBorder="1" applyAlignment="1">
      <alignment vertical="top" wrapText="1"/>
    </xf>
    <xf numFmtId="168" fontId="0" fillId="5" borderId="5" xfId="0" applyNumberFormat="1" applyFill="1" applyBorder="1" applyAlignment="1">
      <alignment horizontal="justify" vertical="top" wrapText="1"/>
    </xf>
    <xf numFmtId="168" fontId="0" fillId="0" borderId="1" xfId="0" applyNumberFormat="1" applyBorder="1" applyAlignment="1">
      <alignment horizontal="center" vertical="top"/>
    </xf>
    <xf numFmtId="168" fontId="67" fillId="0" borderId="1" xfId="0" applyNumberFormat="1" applyFont="1" applyBorder="1" applyAlignment="1">
      <alignment horizontal="justify" vertical="top"/>
    </xf>
    <xf numFmtId="168" fontId="67" fillId="0" borderId="1" xfId="0" applyNumberFormat="1" applyFont="1" applyBorder="1" applyAlignment="1">
      <alignment horizontal="center" vertical="top" wrapText="1"/>
    </xf>
    <xf numFmtId="168" fontId="0" fillId="0" borderId="1" xfId="0" applyNumberFormat="1" applyBorder="1" applyAlignment="1">
      <alignment horizontal="justify" vertical="top" wrapText="1"/>
    </xf>
    <xf numFmtId="168" fontId="67" fillId="0" borderId="1" xfId="0" applyNumberFormat="1" applyFont="1" applyBorder="1" applyAlignment="1">
      <alignment horizontal="justify" vertical="top" wrapText="1"/>
    </xf>
    <xf numFmtId="168" fontId="0" fillId="0" borderId="1" xfId="0" applyNumberFormat="1" applyBorder="1" applyAlignment="1">
      <alignment horizontal="center" vertical="top" wrapText="1"/>
    </xf>
    <xf numFmtId="168" fontId="67" fillId="5" borderId="1" xfId="0" applyNumberFormat="1" applyFont="1" applyFill="1" applyBorder="1" applyAlignment="1">
      <alignment horizontal="justify" vertical="top"/>
    </xf>
    <xf numFmtId="168" fontId="0" fillId="0" borderId="1" xfId="0" applyNumberFormat="1" applyBorder="1" applyAlignment="1">
      <alignment horizontal="justify" vertical="top"/>
    </xf>
    <xf numFmtId="0" fontId="34" fillId="0" borderId="1" xfId="0" applyFont="1" applyBorder="1" applyAlignment="1">
      <alignment vertical="top" wrapText="1"/>
    </xf>
    <xf numFmtId="0" fontId="0" fillId="0" borderId="1" xfId="0" applyBorder="1"/>
    <xf numFmtId="0" fontId="67" fillId="17" borderId="1" xfId="0" applyFont="1" applyFill="1" applyBorder="1" applyAlignment="1">
      <alignment vertical="top" wrapText="1"/>
    </xf>
    <xf numFmtId="0" fontId="0" fillId="5" borderId="1" xfId="0" applyFill="1" applyBorder="1" applyAlignment="1">
      <alignment horizontal="left" vertical="top" wrapText="1"/>
    </xf>
    <xf numFmtId="168" fontId="0" fillId="0" borderId="1" xfId="0" applyNumberFormat="1" applyBorder="1" applyAlignment="1">
      <alignment vertical="top" wrapText="1"/>
    </xf>
    <xf numFmtId="168" fontId="0" fillId="0" borderId="10" xfId="0" applyNumberFormat="1" applyBorder="1" applyAlignment="1">
      <alignment horizontal="center" vertical="top" wrapText="1"/>
    </xf>
    <xf numFmtId="168" fontId="26" fillId="0" borderId="10" xfId="0" applyNumberFormat="1" applyFont="1" applyBorder="1" applyAlignment="1">
      <alignment horizontal="center" vertical="top" wrapText="1"/>
    </xf>
    <xf numFmtId="168" fontId="26" fillId="0" borderId="1" xfId="0" applyNumberFormat="1" applyFont="1" applyBorder="1" applyAlignment="1">
      <alignment horizontal="justify" vertical="top" wrapText="1"/>
    </xf>
    <xf numFmtId="0" fontId="64" fillId="5" borderId="1" xfId="0" applyFont="1" applyFill="1" applyBorder="1"/>
    <xf numFmtId="0" fontId="33" fillId="0" borderId="1" xfId="0" applyFont="1" applyBorder="1"/>
    <xf numFmtId="0" fontId="0" fillId="0" borderId="1" xfId="0" applyBorder="1" applyAlignment="1">
      <alignment vertical="top" wrapText="1"/>
    </xf>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0" fontId="34"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8" fillId="0" borderId="1" xfId="0" applyFont="1" applyBorder="1" applyAlignment="1">
      <alignment vertical="top" wrapText="1"/>
    </xf>
    <xf numFmtId="168" fontId="29" fillId="0" borderId="1" xfId="0" applyNumberFormat="1" applyFont="1" applyBorder="1" applyAlignment="1">
      <alignment horizontal="left" vertical="top" wrapText="1"/>
    </xf>
    <xf numFmtId="168" fontId="0" fillId="0" borderId="10" xfId="0" applyNumberFormat="1" applyBorder="1" applyAlignment="1">
      <alignment horizontal="justify" vertical="top"/>
    </xf>
    <xf numFmtId="0" fontId="18" fillId="0" borderId="10" xfId="0" applyFont="1" applyBorder="1" applyAlignment="1">
      <alignment vertical="top" wrapText="1"/>
    </xf>
    <xf numFmtId="168" fontId="0" fillId="0" borderId="5" xfId="0" applyNumberFormat="1" applyBorder="1" applyAlignment="1">
      <alignment horizontal="justify" vertical="top"/>
    </xf>
    <xf numFmtId="0" fontId="18" fillId="0" borderId="5" xfId="0" applyFont="1" applyBorder="1" applyAlignment="1">
      <alignment vertical="top" wrapText="1"/>
    </xf>
    <xf numFmtId="0" fontId="12" fillId="17" borderId="1" xfId="6" quotePrefix="1" applyFont="1" applyFill="1" applyBorder="1" applyAlignment="1" applyProtection="1">
      <alignment horizontal="center" vertical="top" wrapText="1"/>
    </xf>
    <xf numFmtId="0" fontId="67" fillId="17" borderId="1" xfId="0" applyFont="1" applyFill="1" applyBorder="1" applyAlignment="1">
      <alignment horizontal="center" vertical="top" wrapText="1"/>
    </xf>
    <xf numFmtId="0" fontId="67" fillId="17" borderId="1" xfId="0" quotePrefix="1" applyFont="1" applyFill="1" applyBorder="1" applyAlignment="1">
      <alignment horizontal="left" vertical="top" wrapText="1"/>
    </xf>
    <xf numFmtId="0" fontId="67" fillId="17" borderId="1" xfId="0" applyFont="1" applyFill="1" applyBorder="1" applyAlignment="1">
      <alignment horizontal="left" vertical="top" wrapText="1"/>
    </xf>
    <xf numFmtId="0" fontId="67" fillId="17" borderId="1" xfId="0" applyFont="1" applyFill="1" applyBorder="1" applyAlignment="1">
      <alignment horizontal="justify" vertical="top" wrapText="1"/>
    </xf>
    <xf numFmtId="0" fontId="0" fillId="17" borderId="1" xfId="0" applyFill="1" applyBorder="1" applyAlignment="1">
      <alignment horizontal="left" vertical="top" wrapText="1"/>
    </xf>
    <xf numFmtId="0" fontId="29" fillId="17" borderId="1" xfId="0" applyFont="1" applyFill="1" applyBorder="1" applyAlignment="1">
      <alignment horizontal="justify" vertical="top" wrapText="1"/>
    </xf>
    <xf numFmtId="0" fontId="5" fillId="17" borderId="1" xfId="0" applyFont="1" applyFill="1" applyBorder="1" applyAlignment="1">
      <alignment horizontal="justify" vertical="top" wrapText="1"/>
    </xf>
    <xf numFmtId="0" fontId="67" fillId="17" borderId="5" xfId="0" applyFont="1" applyFill="1" applyBorder="1" applyAlignment="1">
      <alignment horizontal="justify" vertical="top" wrapText="1"/>
    </xf>
    <xf numFmtId="0" fontId="67" fillId="17" borderId="12" xfId="0" applyFont="1" applyFill="1" applyBorder="1" applyAlignment="1">
      <alignment horizontal="justify" vertical="top" wrapText="1"/>
    </xf>
    <xf numFmtId="0" fontId="0" fillId="17" borderId="10" xfId="0" applyFill="1" applyBorder="1" applyAlignment="1">
      <alignment horizontal="left" vertical="top" wrapText="1"/>
    </xf>
    <xf numFmtId="0" fontId="63" fillId="17" borderId="5" xfId="6" applyFont="1" applyFill="1" applyBorder="1" applyProtection="1"/>
    <xf numFmtId="0" fontId="0" fillId="17" borderId="35" xfId="0"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67" fillId="0" borderId="1" xfId="0" applyFont="1" applyBorder="1" applyAlignment="1">
      <alignment horizontal="justify" vertical="top" wrapText="1"/>
    </xf>
    <xf numFmtId="168" fontId="67" fillId="0" borderId="1" xfId="0" applyNumberFormat="1" applyFont="1" applyBorder="1" applyAlignment="1">
      <alignment horizontal="left" vertical="top" wrapText="1"/>
    </xf>
    <xf numFmtId="0" fontId="52"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justify" vertical="top" wrapText="1"/>
    </xf>
    <xf numFmtId="0" fontId="58" fillId="0" borderId="1" xfId="0" applyFont="1" applyBorder="1"/>
    <xf numFmtId="0" fontId="0" fillId="0" borderId="9" xfId="0" applyBorder="1" applyAlignment="1">
      <alignment horizontal="center" vertical="top" wrapText="1"/>
    </xf>
    <xf numFmtId="0" fontId="58" fillId="0" borderId="8" xfId="0" applyFont="1" applyBorder="1"/>
    <xf numFmtId="0" fontId="0" fillId="0" borderId="1" xfId="0" applyBorder="1" applyAlignment="1">
      <alignment horizontal="left" vertical="top"/>
    </xf>
    <xf numFmtId="0" fontId="67" fillId="0" borderId="1" xfId="0" applyFont="1" applyBorder="1" applyAlignment="1">
      <alignment vertical="top" wrapText="1"/>
    </xf>
    <xf numFmtId="0" fontId="0" fillId="0" borderId="1" xfId="0" applyBorder="1" applyAlignment="1">
      <alignment horizontal="left"/>
    </xf>
    <xf numFmtId="0" fontId="0" fillId="0" borderId="0" xfId="0"/>
    <xf numFmtId="0" fontId="0" fillId="0" borderId="0" xfId="0" applyAlignment="1">
      <alignment horizontal="center"/>
    </xf>
    <xf numFmtId="14" fontId="46" fillId="0" borderId="3" xfId="0" applyNumberFormat="1" applyFont="1" applyBorder="1" applyProtection="1">
      <protection locked="0"/>
    </xf>
    <xf numFmtId="169" fontId="37" fillId="0" borderId="1" xfId="7" applyNumberFormat="1" applyFont="1" applyBorder="1" applyProtection="1">
      <protection locked="0"/>
    </xf>
    <xf numFmtId="0" fontId="61" fillId="0" borderId="0" xfId="0" applyFont="1" applyAlignment="1" applyProtection="1">
      <alignment horizontal="right" vertical="center"/>
      <protection locked="0"/>
    </xf>
    <xf numFmtId="0" fontId="4" fillId="0" borderId="0" xfId="7" applyAlignment="1" applyProtection="1">
      <alignment horizontal="right" vertical="top"/>
      <protection locked="0"/>
    </xf>
    <xf numFmtId="0" fontId="4" fillId="0" borderId="0" xfId="7" applyAlignment="1" applyProtection="1">
      <alignment horizontal="right" vertical="top" wrapText="1"/>
      <protection locked="0"/>
    </xf>
    <xf numFmtId="0" fontId="46" fillId="4" borderId="0" xfId="0" applyFont="1" applyFill="1" applyAlignment="1" applyProtection="1">
      <alignment horizontal="right"/>
      <protection locked="0"/>
    </xf>
    <xf numFmtId="0" fontId="37" fillId="0" borderId="0" xfId="7" applyFont="1" applyAlignment="1" applyProtection="1">
      <alignment horizontal="right" vertical="top"/>
      <protection locked="0"/>
    </xf>
    <xf numFmtId="0" fontId="4" fillId="0" borderId="0" xfId="7" applyAlignment="1" applyProtection="1">
      <alignment horizontal="right"/>
      <protection locked="0"/>
    </xf>
    <xf numFmtId="49" fontId="40" fillId="0" borderId="0" xfId="7" applyNumberFormat="1" applyFont="1" applyAlignment="1" applyProtection="1">
      <alignment horizontal="right"/>
      <protection locked="0"/>
    </xf>
    <xf numFmtId="0" fontId="4" fillId="0" borderId="0" xfId="7" applyAlignment="1" applyProtection="1">
      <alignment horizontal="right" indent="1"/>
      <protection locked="0"/>
    </xf>
    <xf numFmtId="40" fontId="4" fillId="0" borderId="0" xfId="7" applyNumberFormat="1" applyAlignment="1" applyProtection="1">
      <alignment horizontal="right"/>
      <protection locked="0"/>
    </xf>
    <xf numFmtId="37" fontId="50" fillId="0" borderId="5" xfId="0" applyNumberFormat="1" applyFont="1" applyBorder="1" applyAlignment="1"/>
    <xf numFmtId="37" fontId="50" fillId="0" borderId="1" xfId="0" applyNumberFormat="1" applyFont="1" applyBorder="1" applyAlignment="1"/>
    <xf numFmtId="40" fontId="4" fillId="11" borderId="0" xfId="7" applyNumberFormat="1" applyFill="1" applyAlignment="1" applyProtection="1">
      <alignment horizontal="right"/>
      <protection locked="0"/>
    </xf>
    <xf numFmtId="40" fontId="4" fillId="11" borderId="0" xfId="7" applyNumberFormat="1" applyFill="1" applyAlignment="1" applyProtection="1">
      <alignment horizontal="right" vertical="top"/>
      <protection locked="0"/>
    </xf>
    <xf numFmtId="0" fontId="0" fillId="0" borderId="3" xfId="0" applyBorder="1"/>
    <xf numFmtId="0" fontId="0" fillId="0" borderId="7" xfId="0" applyBorder="1" applyAlignment="1">
      <alignment horizontal="center"/>
    </xf>
    <xf numFmtId="0" fontId="46" fillId="0" borderId="3" xfId="0" applyFont="1" applyBorder="1" applyProtection="1">
      <protection locked="0"/>
    </xf>
    <xf numFmtId="0" fontId="0" fillId="0" borderId="3" xfId="0" applyBorder="1" applyAlignment="1" applyProtection="1">
      <alignment horizontal="center"/>
      <protection locked="0"/>
    </xf>
    <xf numFmtId="0" fontId="46" fillId="0" borderId="0" xfId="0" applyFont="1" applyProtection="1">
      <protection locked="0"/>
    </xf>
    <xf numFmtId="0" fontId="46" fillId="4" borderId="0" xfId="0" applyFont="1" applyFill="1" applyAlignment="1">
      <alignment wrapText="1"/>
    </xf>
    <xf numFmtId="0" fontId="33" fillId="4" borderId="0" xfId="0" applyFont="1" applyFill="1" applyAlignment="1">
      <alignment horizontal="left" vertical="top" wrapText="1"/>
    </xf>
    <xf numFmtId="0" fontId="46" fillId="4" borderId="0" xfId="0" applyFont="1" applyFill="1"/>
    <xf numFmtId="0" fontId="21" fillId="4" borderId="0" xfId="0" applyFont="1" applyFill="1" applyAlignment="1">
      <alignment vertical="top" wrapText="1"/>
    </xf>
    <xf numFmtId="0" fontId="9" fillId="0" borderId="0" xfId="0" applyFont="1" applyAlignment="1">
      <alignment horizontal="center"/>
    </xf>
    <xf numFmtId="0" fontId="10" fillId="0" borderId="0" xfId="0" applyFont="1" applyAlignment="1">
      <alignment horizontal="center"/>
    </xf>
    <xf numFmtId="0" fontId="0" fillId="0" borderId="0" xfId="0"/>
    <xf numFmtId="0" fontId="33" fillId="0" borderId="0" xfId="0" applyFont="1" applyAlignment="1">
      <alignment horizontal="left" vertical="center" wrapText="1"/>
    </xf>
    <xf numFmtId="0" fontId="33" fillId="0" borderId="14" xfId="0" applyFont="1" applyBorder="1" applyAlignment="1">
      <alignment horizontal="left" vertical="center" wrapText="1"/>
    </xf>
    <xf numFmtId="0" fontId="6" fillId="16" borderId="0" xfId="6" applyFont="1" applyFill="1" applyAlignment="1" applyProtection="1">
      <alignment horizontal="center" wrapText="1"/>
    </xf>
    <xf numFmtId="0" fontId="31" fillId="6" borderId="0" xfId="6" applyFont="1" applyFill="1" applyAlignment="1" applyProtection="1">
      <alignment horizontal="center"/>
    </xf>
    <xf numFmtId="0" fontId="0" fillId="0" borderId="3" xfId="0" applyBorder="1" applyAlignment="1" applyProtection="1">
      <alignment horizontal="left"/>
      <protection locked="0"/>
    </xf>
    <xf numFmtId="0" fontId="0" fillId="0" borderId="34" xfId="0" applyBorder="1" applyAlignment="1" applyProtection="1">
      <alignment horizontal="left"/>
      <protection locked="0"/>
    </xf>
    <xf numFmtId="0" fontId="67" fillId="0" borderId="0" xfId="0" applyFont="1" applyAlignment="1">
      <alignment horizontal="center" wrapText="1"/>
    </xf>
    <xf numFmtId="0" fontId="0" fillId="0" borderId="7" xfId="0" applyBorder="1" applyAlignment="1">
      <alignment horizontal="center" vertical="top"/>
    </xf>
    <xf numFmtId="0" fontId="0" fillId="0" borderId="0" xfId="0" applyAlignment="1">
      <alignment horizontal="center"/>
    </xf>
    <xf numFmtId="0" fontId="33" fillId="4" borderId="0" xfId="0" applyFont="1" applyFill="1" applyAlignment="1">
      <alignment horizontal="left" vertical="center" wrapText="1"/>
    </xf>
    <xf numFmtId="0" fontId="33" fillId="4" borderId="14" xfId="0" applyFont="1" applyFill="1" applyBorder="1" applyAlignment="1">
      <alignment horizontal="left" vertical="center" wrapText="1"/>
    </xf>
    <xf numFmtId="0" fontId="5" fillId="0" borderId="0" xfId="0" applyFont="1" applyAlignment="1">
      <alignment horizontal="left"/>
    </xf>
    <xf numFmtId="37" fontId="50" fillId="4" borderId="3" xfId="0" applyNumberFormat="1" applyFont="1" applyFill="1" applyBorder="1"/>
    <xf numFmtId="0" fontId="67" fillId="0" borderId="0" xfId="0" applyFont="1"/>
    <xf numFmtId="0" fontId="0" fillId="0" borderId="0" xfId="0" applyAlignment="1">
      <alignment horizontal="justify" wrapText="1"/>
    </xf>
    <xf numFmtId="0" fontId="0" fillId="0" borderId="3" xfId="0" applyBorder="1" applyProtection="1">
      <protection locked="0"/>
    </xf>
    <xf numFmtId="0" fontId="0" fillId="0" borderId="0" xfId="0" applyAlignment="1">
      <alignment horizontal="center" wrapText="1"/>
    </xf>
    <xf numFmtId="0" fontId="0" fillId="0" borderId="0" xfId="0" applyAlignment="1">
      <alignment horizontal="center" vertical="top"/>
    </xf>
    <xf numFmtId="49" fontId="0" fillId="0" borderId="3" xfId="0" applyNumberFormat="1" applyBorder="1" applyAlignment="1">
      <alignment horizontal="center"/>
    </xf>
    <xf numFmtId="0" fontId="0" fillId="0" borderId="3" xfId="0" applyBorder="1" applyAlignment="1">
      <alignment horizontal="center"/>
    </xf>
    <xf numFmtId="49" fontId="46" fillId="4" borderId="3" xfId="0" applyNumberFormat="1" applyFont="1" applyFill="1" applyBorder="1" applyProtection="1">
      <protection locked="0"/>
    </xf>
    <xf numFmtId="49" fontId="0" fillId="4" borderId="3" xfId="0" applyNumberFormat="1" applyFill="1" applyBorder="1" applyProtection="1">
      <protection locked="0"/>
    </xf>
    <xf numFmtId="0" fontId="22" fillId="0" borderId="1" xfId="0" applyFont="1" applyBorder="1" applyAlignment="1">
      <alignment horizontal="center" wrapText="1"/>
    </xf>
    <xf numFmtId="6" fontId="22" fillId="0" borderId="1" xfId="0" applyNumberFormat="1" applyFont="1" applyBorder="1" applyAlignment="1">
      <alignment horizontal="center"/>
    </xf>
    <xf numFmtId="0" fontId="16" fillId="6" borderId="0" xfId="6" applyFont="1" applyFill="1" applyBorder="1" applyAlignment="1" applyProtection="1">
      <alignment horizontal="center"/>
    </xf>
    <xf numFmtId="0" fontId="0" fillId="0" borderId="0" xfId="0" applyAlignment="1">
      <alignment horizontal="left"/>
    </xf>
    <xf numFmtId="0" fontId="5" fillId="0" borderId="0" xfId="0" applyFont="1"/>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0" fontId="0" fillId="0" borderId="0" xfId="0" applyAlignment="1">
      <alignment horizontal="left" wrapText="1"/>
    </xf>
    <xf numFmtId="10" fontId="50" fillId="4" borderId="15" xfId="0" applyNumberFormat="1" applyFont="1" applyFill="1" applyBorder="1"/>
    <xf numFmtId="10" fontId="0" fillId="4" borderId="5" xfId="0" applyNumberFormat="1" applyFill="1" applyBorder="1"/>
    <xf numFmtId="10" fontId="50"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9" xfId="9" applyFont="1" applyBorder="1" applyAlignment="1">
      <alignment horizontal="center"/>
    </xf>
    <xf numFmtId="0" fontId="0" fillId="0" borderId="8" xfId="9" applyFont="1" applyBorder="1" applyAlignment="1">
      <alignment horizontal="center"/>
    </xf>
    <xf numFmtId="0" fontId="24" fillId="0" borderId="0" xfId="0" applyFont="1" applyAlignment="1">
      <alignment horizontal="left" vertical="center" wrapText="1"/>
    </xf>
    <xf numFmtId="0" fontId="16" fillId="6" borderId="3" xfId="6" applyFont="1" applyFill="1" applyBorder="1" applyProtection="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37" fontId="50"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6" xfId="0" applyNumberFormat="1" applyFill="1" applyBorder="1" applyAlignment="1">
      <alignment horizontal="center"/>
    </xf>
    <xf numFmtId="0" fontId="0" fillId="0" borderId="4" xfId="0" applyBorder="1" applyAlignment="1">
      <alignment horizontal="center"/>
    </xf>
    <xf numFmtId="37" fontId="50" fillId="0" borderId="5" xfId="0" applyNumberFormat="1" applyFont="1" applyBorder="1"/>
    <xf numFmtId="37" fontId="0" fillId="0" borderId="1" xfId="0" applyNumberFormat="1" applyBorder="1"/>
    <xf numFmtId="0" fontId="5" fillId="0" borderId="3" xfId="0" applyFont="1" applyBorder="1" applyAlignment="1">
      <alignment horizontal="center"/>
    </xf>
    <xf numFmtId="0" fontId="5" fillId="0" borderId="0" xfId="0" applyFont="1" applyAlignment="1">
      <alignment horizontal="center"/>
    </xf>
    <xf numFmtId="0" fontId="31" fillId="6" borderId="10" xfId="6" applyFont="1" applyFill="1" applyBorder="1" applyAlignment="1" applyProtection="1">
      <alignment horizontal="center" wrapText="1"/>
    </xf>
    <xf numFmtId="0" fontId="31" fillId="6" borderId="15" xfId="6" applyFont="1" applyFill="1" applyBorder="1" applyAlignment="1" applyProtection="1">
      <alignment horizontal="center" wrapText="1"/>
    </xf>
    <xf numFmtId="0" fontId="31" fillId="6" borderId="35" xfId="6" applyFont="1" applyFill="1" applyBorder="1" applyAlignment="1" applyProtection="1">
      <alignment horizontal="center" wrapText="1"/>
    </xf>
    <xf numFmtId="49" fontId="31" fillId="6" borderId="0" xfId="6" applyNumberFormat="1" applyFont="1" applyFill="1" applyBorder="1" applyAlignment="1" applyProtection="1">
      <alignment horizontal="left" vertical="top" wrapText="1"/>
    </xf>
    <xf numFmtId="0" fontId="6" fillId="0" borderId="12" xfId="0" applyFont="1" applyBorder="1" applyAlignment="1">
      <alignment horizontal="center" wrapText="1"/>
    </xf>
    <xf numFmtId="0" fontId="6" fillId="0" borderId="7" xfId="0" applyFont="1" applyBorder="1" applyAlignment="1">
      <alignment horizontal="center" wrapText="1"/>
    </xf>
    <xf numFmtId="0" fontId="6" fillId="0" borderId="13" xfId="0" applyFont="1" applyBorder="1" applyAlignment="1">
      <alignment horizontal="center" wrapText="1"/>
    </xf>
    <xf numFmtId="0" fontId="31" fillId="6" borderId="0" xfId="6" applyFont="1" applyFill="1" applyAlignment="1" applyProtection="1">
      <alignment wrapText="1"/>
    </xf>
    <xf numFmtId="0" fontId="31" fillId="6" borderId="0" xfId="6" applyFont="1" applyFill="1" applyBorder="1" applyAlignment="1" applyProtection="1">
      <alignment wrapText="1"/>
    </xf>
    <xf numFmtId="0" fontId="31" fillId="6" borderId="0" xfId="6" applyFont="1" applyFill="1" applyAlignment="1" applyProtection="1">
      <alignment horizontal="left" vertical="top"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6" fillId="0" borderId="2" xfId="0" applyFont="1" applyBorder="1" applyAlignment="1">
      <alignment horizontal="center" wrapText="1"/>
    </xf>
    <xf numFmtId="0" fontId="6" fillId="0" borderId="14" xfId="0" applyFont="1" applyBorder="1" applyAlignment="1">
      <alignment horizontal="center" wrapText="1"/>
    </xf>
    <xf numFmtId="49" fontId="50"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6" fillId="0" borderId="16" xfId="0" applyFont="1" applyBorder="1" applyAlignment="1">
      <alignment horizontal="center" wrapText="1"/>
    </xf>
    <xf numFmtId="0" fontId="6" fillId="0" borderId="17" xfId="0" applyFont="1" applyBorder="1" applyAlignment="1">
      <alignment horizontal="center" wrapText="1"/>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0" fontId="6" fillId="0" borderId="0" xfId="0" applyFont="1" applyAlignment="1">
      <alignment horizontal="center" wrapText="1"/>
    </xf>
    <xf numFmtId="0" fontId="6" fillId="0" borderId="3" xfId="0" applyFont="1" applyBorder="1" applyAlignment="1">
      <alignment horizontal="center" wrapText="1"/>
    </xf>
    <xf numFmtId="37" fontId="50" fillId="0" borderId="10" xfId="0" applyNumberFormat="1" applyFont="1" applyBorder="1"/>
    <xf numFmtId="37" fontId="0" fillId="0" borderId="33" xfId="0" applyNumberFormat="1" applyBorder="1" applyAlignment="1">
      <alignment horizontal="right"/>
    </xf>
    <xf numFmtId="0" fontId="12" fillId="6" borderId="0" xfId="6" applyFont="1" applyFill="1" applyAlignment="1" applyProtection="1">
      <alignment horizontal="left" vertical="center" wrapText="1"/>
    </xf>
    <xf numFmtId="0" fontId="12" fillId="6" borderId="0" xfId="6" applyFont="1" applyFill="1" applyBorder="1" applyAlignment="1" applyProtection="1">
      <alignment horizontal="left" vertical="center" wrapText="1"/>
    </xf>
    <xf numFmtId="37" fontId="50"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37" fontId="50" fillId="4" borderId="5" xfId="0" applyNumberFormat="1" applyFont="1" applyFill="1" applyBorder="1"/>
    <xf numFmtId="37" fontId="0" fillId="4" borderId="21" xfId="0" applyNumberFormat="1" applyFill="1" applyBorder="1"/>
    <xf numFmtId="0" fontId="31" fillId="6" borderId="0" xfId="6" applyFont="1" applyFill="1" applyAlignment="1" applyProtection="1">
      <alignment horizontal="left"/>
    </xf>
    <xf numFmtId="0" fontId="0" fillId="0" borderId="0" xfId="6" applyFont="1" applyFill="1" applyBorder="1" applyAlignment="1" applyProtection="1">
      <alignment horizontal="left" wrapText="1"/>
    </xf>
    <xf numFmtId="0" fontId="31" fillId="6" borderId="0" xfId="6" applyFont="1" applyFill="1" applyAlignment="1" applyProtection="1">
      <alignment vertical="top" wrapText="1"/>
    </xf>
    <xf numFmtId="0" fontId="16" fillId="6" borderId="0" xfId="6" applyFont="1" applyFill="1" applyAlignment="1" applyProtection="1">
      <alignment horizontal="center"/>
    </xf>
    <xf numFmtId="0" fontId="31"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0" fontId="67" fillId="17" borderId="0" xfId="0" applyFont="1" applyFill="1" applyAlignment="1">
      <alignment wrapText="1"/>
    </xf>
    <xf numFmtId="168" fontId="31" fillId="6" borderId="0" xfId="6" applyNumberFormat="1" applyFont="1" applyFill="1" applyBorder="1" applyAlignment="1" applyProtection="1">
      <alignment horizontal="left"/>
    </xf>
    <xf numFmtId="0" fontId="67" fillId="0" borderId="0" xfId="0" applyFont="1" applyAlignment="1">
      <alignment wrapText="1"/>
    </xf>
    <xf numFmtId="168" fontId="67" fillId="5" borderId="0" xfId="0" applyNumberFormat="1" applyFont="1" applyFill="1" applyAlignment="1">
      <alignment horizontal="left"/>
    </xf>
    <xf numFmtId="168" fontId="67" fillId="5" borderId="14" xfId="0" applyNumberFormat="1" applyFont="1" applyFill="1" applyBorder="1" applyAlignment="1">
      <alignment horizontal="left"/>
    </xf>
    <xf numFmtId="168" fontId="0" fillId="5" borderId="0" xfId="0" applyNumberFormat="1" applyFill="1" applyAlignment="1">
      <alignment horizontal="left"/>
    </xf>
    <xf numFmtId="168" fontId="0" fillId="5" borderId="14" xfId="0" applyNumberFormat="1" applyFill="1" applyBorder="1" applyAlignment="1">
      <alignment horizontal="left"/>
    </xf>
    <xf numFmtId="168" fontId="29" fillId="5" borderId="0" xfId="0" applyNumberFormat="1" applyFont="1" applyFill="1" applyAlignment="1">
      <alignment horizontal="left"/>
    </xf>
    <xf numFmtId="0" fontId="0" fillId="0" borderId="0" xfId="0" quotePrefix="1" applyAlignment="1">
      <alignment horizontal="left"/>
    </xf>
    <xf numFmtId="168" fontId="5" fillId="5" borderId="0" xfId="0" applyNumberFormat="1" applyFont="1" applyFill="1" applyAlignment="1">
      <alignment horizontal="center"/>
    </xf>
    <xf numFmtId="0" fontId="0" fillId="0" borderId="1" xfId="0" applyBorder="1" applyAlignment="1">
      <alignment horizontal="center"/>
    </xf>
    <xf numFmtId="168" fontId="29" fillId="5" borderId="14" xfId="0" applyNumberFormat="1" applyFont="1" applyFill="1" applyBorder="1" applyAlignment="1">
      <alignment horizontal="left"/>
    </xf>
    <xf numFmtId="0" fontId="29" fillId="0" borderId="9" xfId="10" applyFont="1" applyBorder="1" applyAlignment="1">
      <alignment horizontal="left"/>
    </xf>
    <xf numFmtId="0" fontId="29" fillId="0" borderId="4" xfId="10" applyFont="1" applyBorder="1" applyAlignment="1">
      <alignment horizontal="left"/>
    </xf>
    <xf numFmtId="0" fontId="29" fillId="0" borderId="8" xfId="10" applyFont="1" applyBorder="1" applyAlignment="1">
      <alignment horizontal="left"/>
    </xf>
    <xf numFmtId="168" fontId="33" fillId="0" borderId="0" xfId="10" applyNumberFormat="1" applyFont="1" applyAlignment="1">
      <alignment horizontal="center" vertical="center" wrapText="1"/>
    </xf>
    <xf numFmtId="168" fontId="33" fillId="0" borderId="0" xfId="10" quotePrefix="1" applyNumberFormat="1" applyFont="1" applyAlignment="1">
      <alignment horizontal="center" vertical="center" wrapText="1"/>
    </xf>
    <xf numFmtId="0" fontId="16" fillId="6" borderId="9" xfId="6" applyFont="1" applyFill="1" applyBorder="1" applyProtection="1"/>
    <xf numFmtId="0" fontId="16" fillId="6" borderId="4" xfId="6" applyFont="1" applyFill="1" applyBorder="1" applyProtection="1"/>
    <xf numFmtId="0" fontId="16" fillId="6" borderId="8" xfId="6" applyFont="1" applyFill="1" applyBorder="1" applyProtection="1"/>
    <xf numFmtId="168" fontId="29"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6" fillId="6" borderId="12" xfId="6" applyFont="1" applyFill="1" applyBorder="1" applyProtection="1"/>
    <xf numFmtId="0" fontId="16" fillId="6" borderId="7" xfId="6" applyFont="1" applyFill="1" applyBorder="1" applyProtection="1"/>
    <xf numFmtId="0" fontId="16" fillId="6" borderId="13" xfId="6" applyFont="1" applyFill="1" applyBorder="1" applyProtection="1"/>
    <xf numFmtId="0" fontId="16" fillId="6" borderId="16" xfId="6" applyFont="1" applyFill="1" applyBorder="1" applyProtection="1"/>
    <xf numFmtId="0" fontId="16" fillId="6" borderId="17" xfId="6" applyFont="1" applyFill="1" applyBorder="1" applyProtection="1"/>
    <xf numFmtId="0" fontId="29" fillId="0" borderId="9" xfId="0" applyFont="1" applyBorder="1"/>
    <xf numFmtId="0" fontId="29" fillId="0" borderId="4" xfId="0" applyFont="1" applyBorder="1"/>
    <xf numFmtId="0" fontId="29" fillId="0" borderId="8" xfId="0" applyFont="1" applyBorder="1"/>
    <xf numFmtId="168" fontId="44" fillId="0" borderId="7" xfId="12" applyNumberFormat="1" applyFont="1" applyFill="1" applyBorder="1" applyAlignment="1" applyProtection="1">
      <alignment horizontal="left" vertical="top"/>
    </xf>
    <xf numFmtId="168" fontId="44" fillId="0" borderId="0" xfId="12" applyNumberFormat="1" applyFont="1" applyFill="1" applyBorder="1" applyAlignment="1" applyProtection="1">
      <alignment horizontal="left" vertical="top"/>
    </xf>
    <xf numFmtId="0" fontId="53" fillId="0" borderId="9" xfId="10" applyFont="1" applyBorder="1" applyAlignment="1">
      <alignment horizontal="center"/>
    </xf>
    <xf numFmtId="0" fontId="53" fillId="0" borderId="4" xfId="10" applyFont="1" applyBorder="1" applyAlignment="1">
      <alignment horizontal="center"/>
    </xf>
    <xf numFmtId="0" fontId="53" fillId="0" borderId="8" xfId="10" applyFont="1" applyBorder="1" applyAlignment="1">
      <alignment horizontal="center"/>
    </xf>
    <xf numFmtId="168" fontId="29" fillId="5" borderId="10" xfId="10" applyNumberFormat="1" applyFont="1" applyFill="1" applyBorder="1" applyAlignment="1">
      <alignment horizontal="center" vertical="center"/>
    </xf>
    <xf numFmtId="168" fontId="29" fillId="5" borderId="15" xfId="10" applyNumberFormat="1" applyFont="1" applyFill="1" applyBorder="1" applyAlignment="1">
      <alignment horizontal="center" vertical="center"/>
    </xf>
    <xf numFmtId="168" fontId="29" fillId="5" borderId="5" xfId="10" applyNumberFormat="1" applyFont="1" applyFill="1" applyBorder="1" applyAlignment="1">
      <alignment horizontal="center" vertical="center"/>
    </xf>
    <xf numFmtId="168" fontId="53" fillId="5" borderId="0" xfId="10" applyNumberFormat="1" applyFont="1" applyFill="1"/>
    <xf numFmtId="168" fontId="53" fillId="5" borderId="14" xfId="10" applyNumberFormat="1" applyFont="1" applyFill="1" applyBorder="1"/>
    <xf numFmtId="168" fontId="53" fillId="5" borderId="3" xfId="10" applyNumberFormat="1" applyFont="1" applyFill="1" applyBorder="1"/>
    <xf numFmtId="168" fontId="53" fillId="5" borderId="17" xfId="10" applyNumberFormat="1" applyFont="1" applyFill="1" applyBorder="1"/>
    <xf numFmtId="168" fontId="33" fillId="0" borderId="0" xfId="10" applyNumberFormat="1" applyFont="1" applyAlignment="1">
      <alignment horizontal="center" wrapText="1"/>
    </xf>
    <xf numFmtId="0" fontId="29" fillId="0" borderId="3" xfId="10" applyFont="1" applyBorder="1" applyAlignment="1">
      <alignment horizontal="center"/>
    </xf>
    <xf numFmtId="168" fontId="16" fillId="6" borderId="10" xfId="12" applyNumberFormat="1" applyFont="1" applyFill="1" applyBorder="1" applyAlignment="1" applyProtection="1">
      <alignment horizontal="center" wrapText="1"/>
    </xf>
    <xf numFmtId="168" fontId="16" fillId="6" borderId="5" xfId="12" applyNumberFormat="1" applyFont="1" applyFill="1" applyBorder="1" applyAlignment="1" applyProtection="1">
      <alignment horizontal="center" wrapText="1"/>
    </xf>
    <xf numFmtId="168" fontId="32" fillId="6" borderId="10" xfId="12" applyNumberFormat="1" applyFont="1" applyFill="1" applyBorder="1" applyAlignment="1" applyProtection="1">
      <alignment horizontal="center" wrapText="1"/>
    </xf>
    <xf numFmtId="168" fontId="32" fillId="6" borderId="5" xfId="12" applyNumberFormat="1" applyFont="1" applyFill="1" applyBorder="1" applyAlignment="1" applyProtection="1">
      <alignment horizontal="center" wrapText="1"/>
    </xf>
    <xf numFmtId="49" fontId="0" fillId="5" borderId="2" xfId="0" applyNumberFormat="1" applyFill="1" applyBorder="1" applyAlignment="1">
      <alignment horizontal="left" wrapText="1"/>
    </xf>
    <xf numFmtId="49" fontId="0" fillId="5" borderId="0" xfId="0" applyNumberFormat="1" applyFill="1" applyAlignment="1">
      <alignment horizontal="left" wrapText="1"/>
    </xf>
    <xf numFmtId="0" fontId="66" fillId="0" borderId="0" xfId="0" applyFont="1" applyAlignment="1">
      <alignment horizontal="center"/>
    </xf>
    <xf numFmtId="49" fontId="0" fillId="5" borderId="16" xfId="0" applyNumberFormat="1" applyFill="1" applyBorder="1" applyAlignment="1">
      <alignment wrapText="1"/>
    </xf>
    <xf numFmtId="49" fontId="0" fillId="5" borderId="3" xfId="0" applyNumberFormat="1" applyFill="1" applyBorder="1" applyAlignment="1">
      <alignment wrapText="1"/>
    </xf>
    <xf numFmtId="0" fontId="5" fillId="0" borderId="0" xfId="0" applyFont="1" applyAlignment="1">
      <alignment horizontal="right"/>
    </xf>
    <xf numFmtId="0" fontId="65" fillId="6" borderId="10" xfId="6" applyFont="1" applyFill="1" applyBorder="1" applyAlignment="1" applyProtection="1">
      <alignment horizontal="center"/>
    </xf>
    <xf numFmtId="0" fontId="65" fillId="6" borderId="5" xfId="6" applyFont="1" applyFill="1" applyBorder="1" applyAlignment="1" applyProtection="1">
      <alignment horizontal="center"/>
    </xf>
    <xf numFmtId="0" fontId="65" fillId="6" borderId="10" xfId="6" applyFont="1" applyFill="1" applyBorder="1" applyAlignment="1" applyProtection="1">
      <alignment horizontal="center" wrapText="1"/>
    </xf>
    <xf numFmtId="0" fontId="65" fillId="6" borderId="5" xfId="6" applyFont="1" applyFill="1" applyBorder="1" applyAlignment="1" applyProtection="1">
      <alignment horizontal="center" wrapText="1"/>
    </xf>
    <xf numFmtId="38" fontId="48" fillId="0" borderId="24" xfId="13" applyNumberFormat="1" applyFont="1" applyBorder="1" applyAlignment="1">
      <alignment horizontal="center" wrapText="1"/>
    </xf>
    <xf numFmtId="38" fontId="48" fillId="0" borderId="15" xfId="13" applyNumberFormat="1" applyFont="1" applyBorder="1" applyAlignment="1">
      <alignment horizontal="center" wrapText="1"/>
    </xf>
    <xf numFmtId="38" fontId="48" fillId="0" borderId="10" xfId="13" applyNumberFormat="1" applyFont="1" applyBorder="1" applyAlignment="1">
      <alignment horizontal="center" wrapText="1"/>
    </xf>
    <xf numFmtId="0" fontId="64" fillId="0" borderId="3" xfId="13" applyBorder="1" applyAlignment="1">
      <alignment horizontal="center"/>
    </xf>
    <xf numFmtId="37" fontId="48" fillId="0" borderId="22" xfId="13" applyNumberFormat="1" applyFont="1" applyBorder="1" applyAlignment="1">
      <alignment horizontal="center" wrapText="1"/>
    </xf>
    <xf numFmtId="37" fontId="48" fillId="0" borderId="25" xfId="13" applyNumberFormat="1" applyFont="1" applyBorder="1" applyAlignment="1">
      <alignment horizontal="center" wrapText="1"/>
    </xf>
    <xf numFmtId="37" fontId="48" fillId="0" borderId="27" xfId="13" applyNumberFormat="1" applyFont="1" applyBorder="1" applyAlignment="1">
      <alignment horizontal="center" wrapText="1"/>
    </xf>
    <xf numFmtId="9" fontId="0" fillId="0" borderId="12" xfId="0" applyNumberFormat="1" applyBorder="1" applyAlignment="1" applyProtection="1">
      <alignment horizontal="center" wrapText="1"/>
      <protection locked="0"/>
    </xf>
    <xf numFmtId="9" fontId="0" fillId="0" borderId="7" xfId="0" applyNumberFormat="1" applyBorder="1" applyAlignment="1" applyProtection="1">
      <alignment horizontal="center" wrapText="1"/>
      <protection locked="0"/>
    </xf>
    <xf numFmtId="9" fontId="0" fillId="0" borderId="13" xfId="0" applyNumberFormat="1" applyBorder="1" applyAlignment="1" applyProtection="1">
      <alignment horizontal="center" wrapText="1"/>
      <protection locked="0"/>
    </xf>
    <xf numFmtId="9" fontId="0" fillId="0" borderId="2" xfId="0" applyNumberFormat="1" applyBorder="1" applyAlignment="1" applyProtection="1">
      <alignment horizontal="center" wrapText="1"/>
      <protection locked="0"/>
    </xf>
    <xf numFmtId="9" fontId="0" fillId="0" borderId="0" xfId="0" applyNumberFormat="1" applyAlignment="1" applyProtection="1">
      <alignment horizontal="center" wrapText="1"/>
      <protection locked="0"/>
    </xf>
    <xf numFmtId="9" fontId="0" fillId="0" borderId="14" xfId="0" applyNumberFormat="1" applyBorder="1" applyAlignment="1" applyProtection="1">
      <alignment horizontal="center" wrapText="1"/>
      <protection locked="0"/>
    </xf>
    <xf numFmtId="9" fontId="0" fillId="0" borderId="16" xfId="0" applyNumberFormat="1" applyBorder="1" applyAlignment="1" applyProtection="1">
      <alignment horizontal="center" wrapText="1"/>
      <protection locked="0"/>
    </xf>
    <xf numFmtId="9" fontId="0" fillId="0" borderId="3" xfId="0" applyNumberFormat="1" applyBorder="1" applyAlignment="1" applyProtection="1">
      <alignment horizontal="center" wrapText="1"/>
      <protection locked="0"/>
    </xf>
    <xf numFmtId="9" fontId="0" fillId="0" borderId="17" xfId="0" applyNumberFormat="1" applyBorder="1" applyAlignment="1" applyProtection="1">
      <alignment horizontal="center" wrapText="1"/>
      <protection locked="0"/>
    </xf>
    <xf numFmtId="0" fontId="5" fillId="0" borderId="9" xfId="0" applyFont="1" applyBorder="1" applyAlignment="1">
      <alignment horizontal="left" wrapText="1"/>
    </xf>
    <xf numFmtId="0" fontId="5" fillId="0" borderId="4" xfId="0" applyFont="1" applyBorder="1" applyAlignment="1">
      <alignment horizontal="left" wrapText="1"/>
    </xf>
    <xf numFmtId="0" fontId="5" fillId="0" borderId="8" xfId="0" applyFont="1" applyBorder="1" applyAlignment="1">
      <alignment horizontal="left" wrapText="1"/>
    </xf>
    <xf numFmtId="9" fontId="0" fillId="0" borderId="9" xfId="0" applyNumberFormat="1" applyBorder="1" applyAlignment="1" applyProtection="1">
      <alignment horizontal="center" wrapText="1"/>
      <protection locked="0"/>
    </xf>
    <xf numFmtId="9" fontId="0" fillId="0" borderId="4" xfId="0" applyNumberFormat="1" applyBorder="1" applyAlignment="1" applyProtection="1">
      <alignment horizontal="center" wrapText="1"/>
      <protection locked="0"/>
    </xf>
    <xf numFmtId="9" fontId="0" fillId="0" borderId="8" xfId="0" applyNumberFormat="1"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168" fontId="55"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5" fillId="0" borderId="0" xfId="8" applyNumberFormat="1" applyFont="1" applyAlignment="1">
      <alignment horizontal="left" wrapText="1"/>
    </xf>
    <xf numFmtId="168" fontId="32" fillId="6" borderId="0" xfId="6" applyNumberFormat="1" applyFont="1" applyFill="1" applyAlignment="1" applyProtection="1">
      <alignment horizontal="left"/>
    </xf>
    <xf numFmtId="0" fontId="0" fillId="0" borderId="0" xfId="0" quotePrefix="1" applyAlignment="1">
      <alignment horizontal="right" vertical="top"/>
    </xf>
    <xf numFmtId="0" fontId="53" fillId="0" borderId="0" xfId="0" applyFont="1"/>
    <xf numFmtId="0" fontId="53" fillId="0" borderId="0" xfId="0" applyFont="1" applyAlignment="1">
      <alignment horizontal="left" vertical="top"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57" fillId="0" borderId="9" xfId="7" applyFont="1" applyBorder="1" applyAlignment="1">
      <alignment horizontal="center"/>
    </xf>
    <xf numFmtId="0" fontId="57" fillId="0" borderId="4" xfId="7" applyFont="1" applyBorder="1" applyAlignment="1">
      <alignment horizontal="center"/>
    </xf>
    <xf numFmtId="0" fontId="57" fillId="0" borderId="8" xfId="7" applyFont="1" applyBorder="1" applyAlignment="1">
      <alignment horizontal="center"/>
    </xf>
    <xf numFmtId="168" fontId="55" fillId="6" borderId="0" xfId="6" applyNumberFormat="1" applyFont="1" applyFill="1" applyAlignment="1" applyProtection="1">
      <alignment horizontal="center"/>
    </xf>
    <xf numFmtId="0" fontId="12" fillId="17" borderId="10" xfId="6" quotePrefix="1" applyFont="1" applyFill="1" applyBorder="1" applyAlignment="1" applyProtection="1">
      <alignment horizontal="center" vertical="top" wrapText="1"/>
    </xf>
    <xf numFmtId="0" fontId="12" fillId="17" borderId="5" xfId="6" quotePrefix="1" applyFont="1" applyFill="1" applyBorder="1" applyAlignment="1" applyProtection="1">
      <alignment horizontal="center" vertical="top" wrapText="1"/>
    </xf>
    <xf numFmtId="0" fontId="67" fillId="17" borderId="10" xfId="0" applyFont="1" applyFill="1" applyBorder="1" applyAlignment="1">
      <alignment horizontal="center" vertical="top" wrapText="1"/>
    </xf>
    <xf numFmtId="0" fontId="67" fillId="17" borderId="16" xfId="0" applyFont="1" applyFill="1" applyBorder="1" applyAlignment="1">
      <alignment horizontal="center" vertical="top" wrapText="1"/>
    </xf>
    <xf numFmtId="168" fontId="12" fillId="5" borderId="12" xfId="6" applyNumberFormat="1" applyFont="1" applyFill="1" applyBorder="1" applyAlignment="1" applyProtection="1">
      <alignment horizontal="center" vertical="center"/>
    </xf>
    <xf numFmtId="168" fontId="12" fillId="5" borderId="13" xfId="6" applyNumberFormat="1" applyFont="1" applyFill="1" applyBorder="1" applyAlignment="1" applyProtection="1">
      <alignment horizontal="center" vertical="center"/>
    </xf>
    <xf numFmtId="168" fontId="12" fillId="5" borderId="2" xfId="6" applyNumberFormat="1" applyFont="1" applyFill="1" applyBorder="1" applyAlignment="1" applyProtection="1">
      <alignment horizontal="center" vertical="center"/>
    </xf>
    <xf numFmtId="168" fontId="12" fillId="5" borderId="14" xfId="6" applyNumberFormat="1" applyFont="1" applyFill="1" applyBorder="1" applyAlignment="1" applyProtection="1">
      <alignment horizontal="center" vertical="center"/>
    </xf>
    <xf numFmtId="168" fontId="12" fillId="5" borderId="16" xfId="6" applyNumberFormat="1" applyFont="1" applyFill="1" applyBorder="1" applyAlignment="1" applyProtection="1">
      <alignment horizontal="center" vertical="center"/>
    </xf>
    <xf numFmtId="168" fontId="12" fillId="5" borderId="17" xfId="6" applyNumberFormat="1" applyFont="1" applyFill="1" applyBorder="1" applyAlignment="1" applyProtection="1">
      <alignment horizontal="center" vertical="center"/>
    </xf>
    <xf numFmtId="168" fontId="31" fillId="5" borderId="10" xfId="6" applyNumberFormat="1" applyFont="1" applyFill="1" applyBorder="1" applyAlignment="1" applyProtection="1">
      <alignment horizontal="center" vertical="top" wrapText="1"/>
    </xf>
    <xf numFmtId="168" fontId="31"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2" fillId="0" borderId="13"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bgColor rgb="FFFF0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ont>
        <b/>
        <i/>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Accounting_Data_Tab"/></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1721485</xdr:colOff>
      <xdr:row>0</xdr:row>
      <xdr:rowOff>261620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100-00009C000000}"/>
            </a:ext>
          </a:extLst>
        </xdr:cNvPr>
        <xdr:cNvSpPr txBox="1"/>
      </xdr:nvSpPr>
      <xdr:spPr>
        <a:xfrm>
          <a:off x="0" y="0"/>
          <a:ext cx="4769485" cy="26162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1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budget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SFORMS/af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Project balances"/>
      <sheetName val="Data Entry"/>
      <sheetName val="Calculations"/>
      <sheetName val="BSA55"/>
      <sheetName val="Instructions"/>
      <sheetName val="budget25"/>
    </sheetNames>
    <definedNames>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IIPClassSizeReduction" refersTo="='Page 2'!$N$22"/>
      <definedName name="IIPDropoutPreventionPrograms" refersTo="='Page 2'!$N$23"/>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s>
    <sheetDataSet>
      <sheetData sheetId="0"/>
      <sheetData sheetId="1"/>
      <sheetData sheetId="2"/>
      <sheetData sheetId="3">
        <row r="6">
          <cell r="N6"/>
        </row>
        <row r="7">
          <cell r="N7"/>
        </row>
        <row r="8">
          <cell r="N8"/>
        </row>
        <row r="9">
          <cell r="N9"/>
        </row>
        <row r="10">
          <cell r="N10"/>
        </row>
        <row r="11">
          <cell r="N11"/>
        </row>
        <row r="14">
          <cell r="N14"/>
        </row>
        <row r="21">
          <cell r="N21"/>
        </row>
        <row r="22">
          <cell r="N22"/>
        </row>
        <row r="23">
          <cell r="N23"/>
        </row>
        <row r="40">
          <cell r="E40"/>
        </row>
        <row r="41">
          <cell r="E41"/>
        </row>
        <row r="42">
          <cell r="E42"/>
        </row>
        <row r="43">
          <cell r="E43"/>
        </row>
        <row r="44">
          <cell r="E44"/>
        </row>
        <row r="45">
          <cell r="E45"/>
        </row>
      </sheetData>
      <sheetData sheetId="4">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Project balance reserves"/>
      <sheetName val="School listing"/>
      <sheetName val="Alerts"/>
      <sheetName val="Instructions"/>
      <sheetName val="Accounting data"/>
      <sheetName val="Calculations"/>
      <sheetName val="afr24"/>
    </sheetNames>
    <definedNames>
      <definedName name="AddlInstrImprProjEndBal" refersTo="='Page 4'!$F$19"/>
      <definedName name="CIP1072EndBal" refersTo="='Page 5'!$O$48"/>
      <definedName name="FP11001130EndBal" refersTo="='Page 8'!$N$6"/>
      <definedName name="FP11401150EndBal" refersTo="='Page 8'!$N$7"/>
      <definedName name="FP1160EndBal" refersTo="='Page 8'!$N$8"/>
      <definedName name="FP11701180EndBal" refersTo="='Page 8'!$N$9"/>
      <definedName name="FP1190EndBal" refersTo="='Page 8'!$N$10"/>
      <definedName name="FP1200EndBal" refersTo="='Page 8'!$N$11"/>
      <definedName name="FP1210EndBal" refersTo="='Page 8'!$N$12"/>
      <definedName name="FP1220EndBal" refersTo="='Page 8'!$N$13"/>
      <definedName name="FP1230EndBal" refersTo="='Page 8'!$N$14"/>
      <definedName name="FP1240EndBal" refersTo="='Page 8'!$N$15"/>
      <definedName name="FP1250EndBal" refersTo="='Page 8'!$N$16"/>
      <definedName name="FP1260EndBal" refersTo="='Page 8'!$N$17"/>
      <definedName name="FP1280EndBal" refersTo="='Page 8'!$N$18"/>
      <definedName name="FP1290EndBal" refersTo="='Page 8'!$N$19"/>
      <definedName name="FP1300EndBal" refersTo="='Page 8'!$N$20"/>
      <definedName name="FP13101399EndBal" refersTo="='Page 8'!$N$22"/>
      <definedName name="FP13XXImpactAidEndBal" refersTo="='Page 8'!$N$21"/>
      <definedName name="SEIP1071EndBal" refersTo="='Page 5'!$O$26"/>
      <definedName name="StP1400EndBal" refersTo="='Page 8'!$N$28"/>
      <definedName name="StP1410EndBal" refersTo="='Page 8'!$N$29"/>
      <definedName name="StP1420EndBal" refersTo="='Page 8'!$N$30"/>
      <definedName name="StP1425EndBal" refersTo="='Page 8'!$N$31"/>
      <definedName name="StP1430EndBal" refersTo="='Page 8'!$N$32"/>
      <definedName name="StP1435EndBal" refersTo="='Page 8'!$N$33"/>
      <definedName name="StP1450EndBal" refersTo="='Page 8'!$N$34"/>
      <definedName name="StP1456EndBal" refersTo="='Page 8'!$N$35"/>
      <definedName name="StP1460EndBal" refersTo="='Page 8'!$N$36"/>
      <definedName name="StP1465EndBal" refersTo="='Page 8'!$N$37"/>
      <definedName name="StP14701499EndBal" refersTo="='Page 8'!$N$39"/>
      <definedName name="StP14XXEndBal" refersTo="='Page 8'!$N$38"/>
    </definedNames>
    <sheetDataSet>
      <sheetData sheetId="0"/>
      <sheetData sheetId="1"/>
      <sheetData sheetId="2">
        <row r="7">
          <cell r="J7">
            <v>0</v>
          </cell>
        </row>
      </sheetData>
      <sheetData sheetId="3">
        <row r="30">
          <cell r="F30">
            <v>0</v>
          </cell>
        </row>
      </sheetData>
      <sheetData sheetId="4">
        <row r="19">
          <cell r="F19">
            <v>0</v>
          </cell>
        </row>
      </sheetData>
      <sheetData sheetId="5">
        <row r="26">
          <cell r="O26">
            <v>0</v>
          </cell>
        </row>
        <row r="48">
          <cell r="O48">
            <v>0</v>
          </cell>
        </row>
      </sheetData>
      <sheetData sheetId="6">
        <row r="6">
          <cell r="F6"/>
        </row>
      </sheetData>
      <sheetData sheetId="7"/>
      <sheetData sheetId="8">
        <row r="6">
          <cell r="N6">
            <v>0</v>
          </cell>
        </row>
        <row r="7">
          <cell r="N7">
            <v>0</v>
          </cell>
        </row>
        <row r="8">
          <cell r="N8">
            <v>0</v>
          </cell>
        </row>
        <row r="9">
          <cell r="N9">
            <v>0</v>
          </cell>
        </row>
        <row r="10">
          <cell r="N10">
            <v>0</v>
          </cell>
        </row>
        <row r="11">
          <cell r="N11">
            <v>0</v>
          </cell>
        </row>
        <row r="12">
          <cell r="N12">
            <v>0</v>
          </cell>
        </row>
        <row r="13">
          <cell r="N13">
            <v>0</v>
          </cell>
        </row>
        <row r="14">
          <cell r="N14">
            <v>0</v>
          </cell>
        </row>
        <row r="15">
          <cell r="N15">
            <v>0</v>
          </cell>
        </row>
        <row r="16">
          <cell r="N16">
            <v>0</v>
          </cell>
        </row>
        <row r="17">
          <cell r="N17">
            <v>0</v>
          </cell>
        </row>
        <row r="18">
          <cell r="N18">
            <v>0</v>
          </cell>
        </row>
        <row r="19">
          <cell r="N19">
            <v>0</v>
          </cell>
        </row>
        <row r="20">
          <cell r="N20">
            <v>0</v>
          </cell>
        </row>
        <row r="21">
          <cell r="N21">
            <v>0</v>
          </cell>
        </row>
        <row r="22">
          <cell r="N22">
            <v>0</v>
          </cell>
        </row>
        <row r="25">
          <cell r="N25">
            <v>0</v>
          </cell>
        </row>
        <row r="28">
          <cell r="N28">
            <v>0</v>
          </cell>
        </row>
        <row r="29">
          <cell r="N29">
            <v>0</v>
          </cell>
        </row>
        <row r="30">
          <cell r="N30">
            <v>0</v>
          </cell>
        </row>
        <row r="31">
          <cell r="N31">
            <v>0</v>
          </cell>
        </row>
        <row r="32">
          <cell r="N32">
            <v>0</v>
          </cell>
        </row>
        <row r="33">
          <cell r="N33">
            <v>0</v>
          </cell>
        </row>
        <row r="34">
          <cell r="N34">
            <v>0</v>
          </cell>
        </row>
        <row r="35">
          <cell r="N35">
            <v>0</v>
          </cell>
        </row>
        <row r="36">
          <cell r="N36">
            <v>0</v>
          </cell>
        </row>
        <row r="37">
          <cell r="N37">
            <v>0</v>
          </cell>
        </row>
        <row r="38">
          <cell r="N38">
            <v>0</v>
          </cell>
        </row>
        <row r="39">
          <cell r="N39">
            <v>0</v>
          </cell>
        </row>
      </sheetData>
      <sheetData sheetId="9"/>
      <sheetData sheetId="10"/>
      <sheetData sheetId="11">
        <row r="17">
          <cell r="K17">
            <v>0</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netolic@asu.edu" TargetMode="External"/><Relationship Id="rId2" Type="http://schemas.openxmlformats.org/officeDocument/2006/relationships/hyperlink" Target="mailto:Jrogier@asu.edu" TargetMode="External"/><Relationship Id="rId1" Type="http://schemas.openxmlformats.org/officeDocument/2006/relationships/hyperlink" Target="https://asuprep.asu.edu/governance/"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Forms/CS%20FINAL%20FILES%20FROM%20ADE/BegFundBalance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www.azed.gov/titlei/sample-page/rural-low-income-schools-rlis/" TargetMode="External"/><Relationship Id="rId7" Type="http://schemas.openxmlformats.org/officeDocument/2006/relationships/hyperlink" Target="https://www.azed.gov/sites/default/files/2022/09/How%20to%20Complete%20USDA%20Foods%20AFR%20Calculations.pdf" TargetMode="External"/><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orms/CS%20FINAL%20FILES%20FROM%20ADE/Program_200_Budget_and_Program_200_Actual_column_totals_should_equal_line_27_on_page_2." TargetMode="External"/><Relationship Id="rId1" Type="http://schemas.openxmlformats.org/officeDocument/2006/relationships/hyperlink" Target="../Forms/CS%20FINAL%20FILES%20FROM%20ADE/Program_200_Budget_and_Program_200_Actual_column_totals_should_equal_line_27_on_page_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5"/>
  <sheetViews>
    <sheetView showGridLines="0" tabSelected="1" workbookViewId="0">
      <selection activeCell="K4" sqref="K4"/>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805" t="s">
        <v>0</v>
      </c>
      <c r="B1" s="805"/>
      <c r="C1" s="805"/>
      <c r="D1" s="786" t="s">
        <v>1393</v>
      </c>
      <c r="E1" s="785"/>
      <c r="F1" s="785"/>
      <c r="G1" s="785"/>
      <c r="H1" s="785"/>
      <c r="I1" s="785"/>
      <c r="L1" s="570" t="s">
        <v>1</v>
      </c>
      <c r="M1" s="784" t="s">
        <v>1391</v>
      </c>
      <c r="N1" s="785"/>
      <c r="Q1" s="59" t="s">
        <v>2</v>
      </c>
      <c r="R1" s="541" t="s">
        <v>1394</v>
      </c>
      <c r="AA1" s="546" t="s">
        <v>3</v>
      </c>
      <c r="AB1" s="697">
        <v>45883</v>
      </c>
    </row>
    <row r="2" spans="1:28" ht="12.75" customHeight="1" x14ac:dyDescent="0.2">
      <c r="A2" s="103"/>
      <c r="B2" s="103"/>
      <c r="C2" s="103"/>
      <c r="D2" s="783" t="s">
        <v>4</v>
      </c>
      <c r="E2" s="783"/>
      <c r="F2" s="783"/>
      <c r="G2" s="783"/>
      <c r="H2" s="783"/>
      <c r="I2" s="783"/>
      <c r="L2" s="789"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90"/>
      <c r="N2" s="790"/>
      <c r="O2" s="790"/>
      <c r="P2" s="790"/>
      <c r="Q2" s="790"/>
      <c r="R2" s="790"/>
    </row>
    <row r="3" spans="1:28" ht="12.75" customHeight="1" x14ac:dyDescent="0.25">
      <c r="A3" s="103"/>
      <c r="B3" s="103"/>
      <c r="C3" s="103"/>
      <c r="D3" s="786"/>
      <c r="E3" s="785"/>
      <c r="F3" s="785"/>
      <c r="G3" s="785"/>
      <c r="H3" s="785"/>
      <c r="I3" s="785"/>
      <c r="L3" s="790"/>
      <c r="M3" s="790"/>
      <c r="N3" s="790"/>
      <c r="O3" s="790"/>
      <c r="P3" s="790"/>
      <c r="Q3" s="790"/>
      <c r="R3" s="790"/>
    </row>
    <row r="4" spans="1:28" ht="12.75" customHeight="1" x14ac:dyDescent="0.2">
      <c r="A4" s="103"/>
      <c r="B4" s="103"/>
      <c r="C4" s="103"/>
      <c r="D4" s="783" t="s">
        <v>5</v>
      </c>
      <c r="E4" s="783"/>
      <c r="F4" s="783"/>
      <c r="G4" s="783"/>
      <c r="H4" s="783"/>
      <c r="I4" s="783"/>
      <c r="L4" s="787" t="str">
        <f>IF(L2="","",CONCATENATE(Alerts!B3,CHAR(10),Alerts!B4,CHAR(10),Alerts!B5,CHAR(10),Alerts!B6,CHAR(10),Alerts!B7,CHAR(10),Alerts!B8,CHAR(10),Alerts!B9,CHAR(10),Alerts!B10,CHAR(10),Alerts!B11,CHAR(10),Alerts!B12,CHAR(10),Alerts!B13,CHAR(10),Alerts!B14,CHAR(10),Alerts!B15,CHAR(10),Alerts!B16))</f>
        <v/>
      </c>
      <c r="M4" s="788"/>
      <c r="N4" s="788"/>
      <c r="O4" s="788"/>
      <c r="P4" s="788"/>
      <c r="Q4" s="788"/>
      <c r="R4" s="788"/>
    </row>
    <row r="5" spans="1:28" ht="12.75" customHeight="1" x14ac:dyDescent="0.2">
      <c r="A5" s="636" t="s">
        <v>726</v>
      </c>
      <c r="B5" s="103"/>
      <c r="C5" s="103"/>
      <c r="L5" s="788"/>
      <c r="M5" s="788"/>
      <c r="N5" s="788"/>
      <c r="O5" s="788"/>
      <c r="P5" s="788"/>
      <c r="Q5" s="788"/>
      <c r="R5" s="788"/>
    </row>
    <row r="6" spans="1:28" ht="17.45" customHeight="1" x14ac:dyDescent="0.3">
      <c r="A6" s="796" t="s">
        <v>1267</v>
      </c>
      <c r="B6" s="791" t="s">
        <v>1293</v>
      </c>
      <c r="C6" s="791"/>
      <c r="D6" s="791"/>
      <c r="E6" s="791"/>
      <c r="F6" s="791"/>
      <c r="G6" s="791"/>
      <c r="H6" s="791"/>
      <c r="I6" s="791"/>
      <c r="J6" s="79"/>
      <c r="L6" s="788"/>
      <c r="M6" s="788"/>
      <c r="N6" s="788"/>
      <c r="O6" s="788"/>
      <c r="P6" s="788"/>
      <c r="Q6" s="788"/>
      <c r="R6" s="788"/>
    </row>
    <row r="7" spans="1:28" ht="18" customHeight="1" x14ac:dyDescent="0.3">
      <c r="A7" s="796"/>
      <c r="B7" s="791" t="s">
        <v>6</v>
      </c>
      <c r="C7" s="791"/>
      <c r="D7" s="791"/>
      <c r="E7" s="791"/>
      <c r="F7" s="791"/>
      <c r="G7" s="791"/>
      <c r="H7" s="791"/>
      <c r="I7" s="791"/>
      <c r="J7" s="75"/>
      <c r="L7" s="788"/>
      <c r="M7" s="788"/>
      <c r="N7" s="788"/>
      <c r="O7" s="788"/>
      <c r="P7" s="788"/>
      <c r="Q7" s="788"/>
      <c r="R7" s="788"/>
    </row>
    <row r="8" spans="1:28" ht="18" customHeight="1" x14ac:dyDescent="0.25">
      <c r="A8" s="652"/>
      <c r="B8" s="792" t="s">
        <v>7</v>
      </c>
      <c r="C8" s="792"/>
      <c r="D8" s="792"/>
      <c r="E8" s="792"/>
      <c r="F8" s="792"/>
      <c r="G8" s="792"/>
      <c r="H8" s="792"/>
      <c r="I8" s="792"/>
      <c r="J8" s="79"/>
      <c r="L8" s="788"/>
      <c r="M8" s="788"/>
      <c r="N8" s="788"/>
      <c r="O8" s="788"/>
      <c r="P8" s="788"/>
      <c r="Q8" s="788"/>
      <c r="R8" s="788"/>
    </row>
    <row r="9" spans="1:28" ht="12.75" customHeight="1" x14ac:dyDescent="0.2">
      <c r="C9" s="104"/>
      <c r="D9" s="104"/>
      <c r="E9" s="104"/>
      <c r="F9" s="104"/>
      <c r="G9" s="104"/>
      <c r="H9" s="104"/>
      <c r="I9" s="104"/>
      <c r="J9" s="105"/>
      <c r="L9" s="788"/>
      <c r="M9" s="788"/>
      <c r="N9" s="788"/>
      <c r="O9" s="788"/>
      <c r="P9" s="787"/>
      <c r="Q9" s="788"/>
      <c r="R9" s="788"/>
    </row>
    <row r="10" spans="1:28" ht="26.25" customHeight="1" x14ac:dyDescent="0.25">
      <c r="A10" s="23"/>
      <c r="B10" s="794" t="str">
        <f>IF('Page 2'!N9="","","Checking the box to the left certifies the Charter did not incur any expenses for student support services, as defined in the USFRCS and reported on Page 2, Line 2, during the fiscal year.")</f>
        <v/>
      </c>
      <c r="C10" s="794"/>
      <c r="D10" s="794"/>
      <c r="E10" s="794"/>
      <c r="F10" s="794"/>
      <c r="G10" s="794"/>
      <c r="H10" s="794"/>
      <c r="I10" s="794"/>
      <c r="J10" s="795"/>
      <c r="L10" s="788"/>
      <c r="M10" s="788"/>
      <c r="N10" s="788"/>
      <c r="O10" s="788"/>
      <c r="P10" s="788"/>
      <c r="Q10" s="788"/>
      <c r="R10" s="788"/>
    </row>
    <row r="11" spans="1:28" x14ac:dyDescent="0.2">
      <c r="A11" s="797" t="s">
        <v>1281</v>
      </c>
      <c r="B11" s="797"/>
      <c r="C11" s="797"/>
      <c r="D11" s="798" t="s">
        <v>1381</v>
      </c>
      <c r="E11" s="798"/>
      <c r="F11" s="798"/>
      <c r="G11" s="798"/>
      <c r="H11" s="798"/>
      <c r="I11" s="798"/>
      <c r="J11" s="799"/>
      <c r="L11" s="788"/>
      <c r="M11" s="788"/>
      <c r="N11" s="788"/>
      <c r="O11" s="788"/>
      <c r="P11" s="788"/>
      <c r="Q11" s="788"/>
      <c r="R11" s="788"/>
    </row>
    <row r="12" spans="1:28" ht="25.5" customHeight="1" x14ac:dyDescent="0.25">
      <c r="A12" s="23"/>
      <c r="B12" s="794" t="str">
        <f>IF('Page 2'!N10="","","Checking the box to the left certifies the Charter did not incur any expenses for instructional support services, as defined in the USFRCS and reported on Page 2, Line 3, during the fiscal year.")</f>
        <v/>
      </c>
      <c r="C12" s="794"/>
      <c r="D12" s="794"/>
      <c r="E12" s="794"/>
      <c r="F12" s="794"/>
      <c r="G12" s="794"/>
      <c r="H12" s="794"/>
      <c r="I12" s="794"/>
      <c r="J12" s="795"/>
      <c r="K12" s="63"/>
      <c r="L12" s="788"/>
      <c r="M12" s="788"/>
      <c r="N12" s="788"/>
      <c r="O12" s="788"/>
      <c r="P12" s="788"/>
      <c r="Q12" s="788"/>
      <c r="R12" s="788"/>
    </row>
    <row r="13" spans="1:28" x14ac:dyDescent="0.2">
      <c r="A13" s="106"/>
      <c r="C13" s="104"/>
      <c r="D13" s="104"/>
      <c r="E13" s="104"/>
      <c r="F13" s="104"/>
      <c r="G13" s="104"/>
      <c r="H13" s="104"/>
      <c r="I13" s="104"/>
      <c r="J13" s="105"/>
      <c r="L13" s="788"/>
      <c r="M13" s="788"/>
      <c r="N13" s="788"/>
      <c r="O13" s="788"/>
      <c r="P13" s="788"/>
      <c r="Q13" s="788"/>
      <c r="R13" s="788"/>
    </row>
    <row r="14" spans="1:28" ht="25.5" customHeight="1" x14ac:dyDescent="0.25">
      <c r="A14" s="23"/>
      <c r="B14" s="803" t="str">
        <f>IF('Page 3'!M12="","","Checking the box to the left certifies the Charter did not incur any expenses for Classroom Site Project, as reported on Page 3, during the fiscal year.")</f>
        <v/>
      </c>
      <c r="C14" s="803"/>
      <c r="D14" s="803"/>
      <c r="E14" s="803"/>
      <c r="F14" s="803"/>
      <c r="G14" s="803"/>
      <c r="H14" s="803"/>
      <c r="I14" s="803"/>
      <c r="J14" s="804"/>
      <c r="L14" s="788"/>
      <c r="M14" s="788"/>
      <c r="N14" s="788"/>
      <c r="O14" s="788"/>
      <c r="P14" s="788"/>
      <c r="Q14" s="788"/>
      <c r="R14" s="788"/>
    </row>
    <row r="15" spans="1:28" x14ac:dyDescent="0.2">
      <c r="A15" s="106"/>
      <c r="C15" s="104"/>
      <c r="D15" s="104"/>
      <c r="E15" s="104"/>
      <c r="F15" s="104"/>
      <c r="G15" s="104"/>
      <c r="H15" s="104"/>
      <c r="I15" s="104"/>
      <c r="J15" s="105"/>
      <c r="L15" s="788"/>
      <c r="M15" s="788"/>
      <c r="N15" s="788"/>
      <c r="O15" s="788"/>
      <c r="P15" s="788"/>
      <c r="Q15" s="788"/>
      <c r="R15" s="788"/>
    </row>
    <row r="16" spans="1:28" ht="39.75" customHeight="1" x14ac:dyDescent="0.25">
      <c r="A16" s="23"/>
      <c r="B16" s="794" t="str">
        <f>IF('Page 6'!H33="","","Checking the box to the left certifies the Charter did not incur any current expenses for student support services, as defined in the USFRCS and reported on Page 6-Section E-Line 4, during the fiscal year.")</f>
        <v/>
      </c>
      <c r="C16" s="794"/>
      <c r="D16" s="794"/>
      <c r="E16" s="794"/>
      <c r="F16" s="794"/>
      <c r="G16" s="794"/>
      <c r="H16" s="794"/>
      <c r="I16" s="794"/>
      <c r="J16" s="795"/>
      <c r="L16" s="788"/>
      <c r="M16" s="788"/>
      <c r="N16" s="788"/>
      <c r="O16" s="788"/>
      <c r="P16" s="788"/>
      <c r="Q16" s="788"/>
      <c r="R16" s="788"/>
    </row>
    <row r="17" spans="1:26" x14ac:dyDescent="0.2">
      <c r="A17" s="106"/>
      <c r="C17" s="104"/>
      <c r="D17" s="104"/>
      <c r="E17" s="104"/>
      <c r="F17" s="104"/>
      <c r="G17" s="104"/>
      <c r="H17" s="104"/>
      <c r="I17" s="104"/>
      <c r="J17" s="105"/>
      <c r="L17" s="788"/>
      <c r="M17" s="788"/>
      <c r="N17" s="788"/>
      <c r="O17" s="788"/>
      <c r="P17" s="788"/>
      <c r="Q17" s="788"/>
      <c r="R17" s="788"/>
    </row>
    <row r="18" spans="1:26" ht="48" customHeight="1" x14ac:dyDescent="0.25">
      <c r="A18" s="23"/>
      <c r="B18" s="794" t="str">
        <f>IF('Page 4'!K10="","","Checking the box to the left certifies the Charter did not incur any expenses for Instructional Improvement Project, as defined in the USFRCS and reported on Page 4, Line 5, during the fiscal year.")</f>
        <v/>
      </c>
      <c r="C18" s="794"/>
      <c r="D18" s="794"/>
      <c r="E18" s="794"/>
      <c r="F18" s="794"/>
      <c r="G18" s="794"/>
      <c r="H18" s="794"/>
      <c r="I18" s="794"/>
      <c r="J18" s="795"/>
      <c r="L18" s="788"/>
      <c r="M18" s="788"/>
      <c r="N18" s="788"/>
      <c r="O18" s="788"/>
      <c r="P18" s="788"/>
      <c r="Q18" s="788"/>
      <c r="R18" s="788"/>
      <c r="S18" s="4"/>
      <c r="T18" s="4"/>
    </row>
    <row r="19" spans="1:26" ht="12.75" customHeight="1" x14ac:dyDescent="0.2">
      <c r="B19" s="800" t="s">
        <v>1294</v>
      </c>
      <c r="C19" s="800"/>
      <c r="D19" s="800"/>
      <c r="E19" s="800"/>
      <c r="F19" s="800"/>
      <c r="G19" s="800"/>
      <c r="H19" s="800"/>
      <c r="I19" s="800"/>
      <c r="J19" s="79"/>
      <c r="L19" s="807" t="s">
        <v>1295</v>
      </c>
      <c r="M19" s="807"/>
      <c r="N19" s="807"/>
      <c r="O19" s="807"/>
      <c r="P19" s="807"/>
      <c r="Q19" s="807"/>
      <c r="R19" s="807"/>
      <c r="S19" s="4"/>
      <c r="T19" s="4"/>
    </row>
    <row r="20" spans="1:26" ht="25.5" customHeight="1" thickBot="1" x14ac:dyDescent="0.3">
      <c r="B20" s="800"/>
      <c r="C20" s="800"/>
      <c r="D20" s="800"/>
      <c r="E20" s="800"/>
      <c r="F20" s="800"/>
      <c r="G20" s="800"/>
      <c r="H20" s="800"/>
      <c r="I20" s="800"/>
      <c r="J20" s="79"/>
      <c r="L20" t="s">
        <v>8</v>
      </c>
      <c r="N20" s="767">
        <v>45945</v>
      </c>
      <c r="O20" s="808" t="s">
        <v>9</v>
      </c>
      <c r="P20" s="808"/>
      <c r="Q20" s="808"/>
      <c r="R20" s="808"/>
      <c r="T20" s="810" t="str">
        <f>IF(Z20="X","","Charters schools must review the FY 2025 AFR Formula Corrections file and make any required formula corrections before finalizing and submitting the AFR. Select the X in the dropdown box in cell Z20 once this step is complete.")</f>
        <v>Charters schools must review the FY 2025 AFR Formula Corrections file and make any required formula corrections before finalizing and submitting the AFR. Select the X in the dropdown box in cell Z20 once this step is complete.</v>
      </c>
      <c r="U20" s="810"/>
      <c r="V20" s="810"/>
      <c r="W20" s="810"/>
      <c r="X20" s="810"/>
      <c r="Z20" s="689"/>
    </row>
    <row r="21" spans="1:26" ht="12.75" customHeight="1" x14ac:dyDescent="0.2">
      <c r="A21" s="793"/>
      <c r="B21" s="793"/>
      <c r="C21" s="793"/>
      <c r="D21" s="793"/>
      <c r="E21" s="793"/>
      <c r="F21" s="4"/>
      <c r="G21" s="802"/>
      <c r="H21" s="802"/>
      <c r="I21" s="802"/>
      <c r="J21" s="79"/>
      <c r="L21" s="793" t="s">
        <v>10</v>
      </c>
      <c r="M21" s="793"/>
      <c r="N21" s="793"/>
      <c r="O21" s="107"/>
      <c r="P21" s="107"/>
      <c r="Q21" s="107"/>
      <c r="R21" s="107"/>
      <c r="T21" s="810"/>
      <c r="U21" s="810"/>
      <c r="V21" s="810"/>
      <c r="W21" s="810"/>
      <c r="X21" s="810"/>
    </row>
    <row r="22" spans="1:26" ht="13.5" customHeight="1" x14ac:dyDescent="0.25">
      <c r="A22" s="782"/>
      <c r="B22" s="782"/>
      <c r="C22" s="782"/>
      <c r="D22" s="782"/>
      <c r="E22" s="782"/>
      <c r="F22" s="4"/>
      <c r="G22" s="784" t="s">
        <v>1382</v>
      </c>
      <c r="H22" s="785"/>
      <c r="I22" s="785"/>
      <c r="J22" s="79"/>
      <c r="M22" s="107"/>
      <c r="N22" s="107"/>
      <c r="O22" s="107"/>
      <c r="P22" s="107"/>
      <c r="Q22" s="107"/>
      <c r="R22" s="107"/>
      <c r="T22" s="810"/>
      <c r="U22" s="810"/>
      <c r="V22" s="810"/>
      <c r="W22" s="810"/>
      <c r="X22" s="810"/>
    </row>
    <row r="23" spans="1:26" ht="12.75" customHeight="1" x14ac:dyDescent="0.25">
      <c r="G23" s="765"/>
      <c r="H23" s="766"/>
      <c r="I23" s="766"/>
      <c r="J23" s="75"/>
      <c r="L23" s="782"/>
      <c r="M23" s="782"/>
      <c r="N23" s="782"/>
      <c r="P23" s="786" t="s">
        <v>1387</v>
      </c>
      <c r="Q23" s="785"/>
      <c r="R23" s="785"/>
      <c r="T23" s="810"/>
      <c r="U23" s="810"/>
      <c r="V23" s="810"/>
      <c r="W23" s="810"/>
      <c r="X23" s="810"/>
    </row>
    <row r="24" spans="1:26" ht="14.25" customHeight="1" x14ac:dyDescent="0.25">
      <c r="A24" s="782"/>
      <c r="B24" s="782"/>
      <c r="C24" s="782"/>
      <c r="D24" s="782"/>
      <c r="E24" s="782"/>
      <c r="F24" s="4"/>
      <c r="G24" s="784" t="s">
        <v>1383</v>
      </c>
      <c r="H24" s="785"/>
      <c r="I24" s="785"/>
      <c r="J24" s="75"/>
      <c r="L24" s="801" t="s">
        <v>11</v>
      </c>
      <c r="M24" s="801"/>
      <c r="N24" s="801"/>
      <c r="P24" s="801" t="s">
        <v>12</v>
      </c>
      <c r="Q24" s="801"/>
      <c r="R24" s="801"/>
    </row>
    <row r="25" spans="1:26" ht="12.75" customHeight="1" x14ac:dyDescent="0.25">
      <c r="G25" s="765"/>
      <c r="H25" s="765"/>
      <c r="I25" s="765"/>
      <c r="J25" s="75"/>
      <c r="L25" s="786" t="s">
        <v>1388</v>
      </c>
      <c r="M25" s="809"/>
      <c r="N25" s="809"/>
    </row>
    <row r="26" spans="1:26" ht="14.25" customHeight="1" x14ac:dyDescent="0.25">
      <c r="A26" s="782"/>
      <c r="B26" s="782"/>
      <c r="C26" s="782"/>
      <c r="D26" s="782"/>
      <c r="E26" s="782"/>
      <c r="F26" s="4"/>
      <c r="G26" s="784" t="s">
        <v>1384</v>
      </c>
      <c r="H26" s="785"/>
      <c r="I26" s="785"/>
      <c r="J26" s="75"/>
      <c r="L26" s="801" t="s">
        <v>13</v>
      </c>
      <c r="M26" s="801"/>
      <c r="N26" s="801"/>
    </row>
    <row r="27" spans="1:26" ht="12.75" customHeight="1" x14ac:dyDescent="0.2">
      <c r="G27" s="765"/>
      <c r="H27" s="765"/>
      <c r="I27" s="765"/>
      <c r="J27" s="75"/>
      <c r="L27" s="793"/>
      <c r="M27" s="793"/>
      <c r="N27" s="793"/>
      <c r="O27" s="108"/>
      <c r="P27" s="811"/>
      <c r="Q27" s="811"/>
      <c r="R27" s="811"/>
    </row>
    <row r="28" spans="1:26" ht="12.75" customHeight="1" x14ac:dyDescent="0.25">
      <c r="A28" s="782"/>
      <c r="B28" s="782"/>
      <c r="C28" s="782"/>
      <c r="D28" s="782"/>
      <c r="E28" s="782"/>
      <c r="F28" s="4"/>
      <c r="G28" s="784" t="s">
        <v>1385</v>
      </c>
      <c r="H28" s="785"/>
      <c r="I28" s="785"/>
      <c r="J28" s="75"/>
      <c r="L28" s="782"/>
      <c r="M28" s="782"/>
      <c r="N28" s="782"/>
      <c r="P28" s="786" t="s">
        <v>1390</v>
      </c>
      <c r="Q28" s="785"/>
      <c r="R28" s="785"/>
    </row>
    <row r="29" spans="1:26" ht="14.25" customHeight="1" x14ac:dyDescent="0.2">
      <c r="D29" s="4"/>
      <c r="E29" s="4"/>
      <c r="F29" s="4"/>
      <c r="G29" s="766"/>
      <c r="H29" s="765"/>
      <c r="I29" s="765"/>
      <c r="J29" s="75"/>
      <c r="L29" s="801" t="s">
        <v>11</v>
      </c>
      <c r="M29" s="801"/>
      <c r="N29" s="801"/>
      <c r="P29" s="801" t="s">
        <v>12</v>
      </c>
      <c r="Q29" s="801"/>
      <c r="R29" s="801"/>
    </row>
    <row r="30" spans="1:26" ht="12.75" customHeight="1" x14ac:dyDescent="0.25">
      <c r="A30" s="782"/>
      <c r="B30" s="782"/>
      <c r="C30" s="782"/>
      <c r="D30" s="782"/>
      <c r="E30" s="782"/>
      <c r="F30" s="4"/>
      <c r="G30" s="784" t="s">
        <v>1386</v>
      </c>
      <c r="H30" s="785"/>
      <c r="I30" s="785"/>
      <c r="K30" s="86"/>
      <c r="L30" s="786" t="s">
        <v>1389</v>
      </c>
      <c r="M30" s="809"/>
      <c r="N30" s="809"/>
    </row>
    <row r="31" spans="1:26" ht="30.75" customHeight="1" x14ac:dyDescent="0.25">
      <c r="A31" s="782"/>
      <c r="B31" s="782"/>
      <c r="C31" s="782"/>
      <c r="D31" s="782"/>
      <c r="E31" s="782"/>
      <c r="F31" s="4"/>
      <c r="G31" s="784"/>
      <c r="H31" s="785"/>
      <c r="I31" s="785"/>
      <c r="J31" s="75"/>
      <c r="K31" s="86"/>
      <c r="L31" s="801" t="s">
        <v>13</v>
      </c>
      <c r="M31" s="801"/>
      <c r="N31" s="801"/>
    </row>
    <row r="32" spans="1:26" ht="12.75" customHeight="1" x14ac:dyDescent="0.2">
      <c r="J32" s="75"/>
      <c r="K32" s="68"/>
      <c r="L32" s="69" t="s">
        <v>14</v>
      </c>
      <c r="M32" s="69"/>
      <c r="N32" s="69"/>
      <c r="O32" s="69"/>
      <c r="P32" s="69"/>
      <c r="Q32" s="69"/>
      <c r="R32" s="69"/>
    </row>
    <row r="33" spans="1:18" ht="12.75" customHeight="1" x14ac:dyDescent="0.25">
      <c r="A33" s="782"/>
      <c r="B33" s="782"/>
      <c r="C33" s="782"/>
      <c r="D33" s="782"/>
      <c r="E33" s="782"/>
      <c r="F33" s="4"/>
      <c r="G33" s="786"/>
      <c r="H33" s="785"/>
      <c r="I33" s="785"/>
      <c r="J33" s="75"/>
      <c r="L33" t="s">
        <v>15</v>
      </c>
      <c r="P33" s="7" t="s">
        <v>16</v>
      </c>
      <c r="Q33" s="806">
        <f>TotExpSchoolwide</f>
        <v>4373582</v>
      </c>
      <c r="R33" s="806"/>
    </row>
    <row r="34" spans="1:18" ht="12.75" customHeight="1" x14ac:dyDescent="0.2">
      <c r="A34" s="783" t="s">
        <v>17</v>
      </c>
      <c r="B34" s="783"/>
      <c r="C34" s="783"/>
      <c r="D34" s="783"/>
      <c r="E34" s="783"/>
      <c r="F34" s="4"/>
      <c r="G34" s="783" t="s">
        <v>18</v>
      </c>
      <c r="H34" s="783"/>
      <c r="I34" s="783"/>
      <c r="J34" s="75"/>
      <c r="L34" t="s">
        <v>19</v>
      </c>
      <c r="P34" s="7" t="s">
        <v>16</v>
      </c>
      <c r="Q34" s="806">
        <f>SP1000ClassSiteProj</f>
        <v>300997</v>
      </c>
      <c r="R34" s="806"/>
    </row>
    <row r="35" spans="1:18" ht="12.75" customHeight="1" x14ac:dyDescent="0.2">
      <c r="J35" s="75"/>
    </row>
  </sheetData>
  <sheetProtection formatCells="0" formatColumns="0" formatRows="0"/>
  <mergeCells count="58">
    <mergeCell ref="T20:X23"/>
    <mergeCell ref="L28:N28"/>
    <mergeCell ref="L29:N29"/>
    <mergeCell ref="L26:N26"/>
    <mergeCell ref="P23:R23"/>
    <mergeCell ref="P24:R24"/>
    <mergeCell ref="P27:R27"/>
    <mergeCell ref="L23:N23"/>
    <mergeCell ref="Q34:R34"/>
    <mergeCell ref="L31:N31"/>
    <mergeCell ref="L19:R19"/>
    <mergeCell ref="L21:N21"/>
    <mergeCell ref="O20:R20"/>
    <mergeCell ref="Q33:R33"/>
    <mergeCell ref="P29:R29"/>
    <mergeCell ref="P28:R28"/>
    <mergeCell ref="L25:N25"/>
    <mergeCell ref="L30:N30"/>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L4:R18"/>
    <mergeCell ref="L2:R3"/>
    <mergeCell ref="B6:I6"/>
    <mergeCell ref="B8:I8"/>
    <mergeCell ref="A21:E21"/>
    <mergeCell ref="B7:I7"/>
    <mergeCell ref="B10:J10"/>
    <mergeCell ref="B16:J16"/>
    <mergeCell ref="A6:A7"/>
    <mergeCell ref="A11:C11"/>
    <mergeCell ref="D11:J11"/>
    <mergeCell ref="G34:I34"/>
    <mergeCell ref="G24:I24"/>
    <mergeCell ref="G26:I26"/>
    <mergeCell ref="G28:I28"/>
    <mergeCell ref="G30:I30"/>
    <mergeCell ref="G31:I31"/>
    <mergeCell ref="G33:I33"/>
    <mergeCell ref="A24:E24"/>
    <mergeCell ref="A28:E28"/>
    <mergeCell ref="A30:E30"/>
    <mergeCell ref="A31:E31"/>
    <mergeCell ref="A34:E34"/>
    <mergeCell ref="A33:E33"/>
  </mergeCells>
  <conditionalFormatting sqref="A16:B16">
    <cfRule type="expression" priority="24" stopIfTrue="1">
      <formula>$A$16="X"</formula>
    </cfRule>
  </conditionalFormatting>
  <conditionalFormatting sqref="B10">
    <cfRule type="expression" dxfId="86" priority="29" stopIfTrue="1">
      <formula>$A$10="X"</formula>
    </cfRule>
  </conditionalFormatting>
  <conditionalFormatting sqref="B12 B14">
    <cfRule type="expression" priority="27" stopIfTrue="1">
      <formula>$A$14="X"</formula>
    </cfRule>
  </conditionalFormatting>
  <conditionalFormatting sqref="B12 D11">
    <cfRule type="expression" priority="28" stopIfTrue="1">
      <formula>$A$12="X"</formula>
    </cfRule>
  </conditionalFormatting>
  <conditionalFormatting sqref="D1 M1 R1">
    <cfRule type="expression" dxfId="85" priority="7" stopIfTrue="1">
      <formula>D1=""</formula>
    </cfRule>
  </conditionalFormatting>
  <conditionalFormatting sqref="D3:I3">
    <cfRule type="expression" dxfId="84" priority="5" stopIfTrue="1">
      <formula>$D$3=""</formula>
    </cfRule>
  </conditionalFormatting>
  <conditionalFormatting sqref="G31 G33">
    <cfRule type="expression" dxfId="83" priority="6" stopIfTrue="1">
      <formula>$G31=""</formula>
    </cfRule>
  </conditionalFormatting>
  <conditionalFormatting sqref="L2:R3">
    <cfRule type="expression" dxfId="82" priority="16" stopIfTrue="1">
      <formula>$L$4&lt;&gt;""</formula>
    </cfRule>
  </conditionalFormatting>
  <conditionalFormatting sqref="N20 P23 L25 P28 L30">
    <cfRule type="expression" dxfId="81" priority="4" stopIfTrue="1">
      <formula>L20=""</formula>
    </cfRule>
  </conditionalFormatting>
  <conditionalFormatting sqref="T20">
    <cfRule type="expression" dxfId="80" priority="2" stopIfTrue="1">
      <formula>$Z$20="X"</formula>
    </cfRule>
  </conditionalFormatting>
  <conditionalFormatting sqref="G22 G24 G26 G28 G30">
    <cfRule type="expression" dxfId="79" priority="1" stopIfTrue="1">
      <formula>$G22=""</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100-000000000000}">
      <formula1>9</formula1>
    </dataValidation>
    <dataValidation type="date" operator="greaterThanOrEqual" allowBlank="1" showInputMessage="1" showErrorMessage="1" errorTitle="Date" error="Enter Valid Date_x000a_MM/DD/YYYY" promptTitle="Enter Date as" prompt="MM/DD/YYYY" sqref="N20" xr:uid="{00000000-0002-0000-0100-000001000000}">
      <formula1>42962</formula1>
    </dataValidation>
    <dataValidation type="list" allowBlank="1" showInputMessage="1" showErrorMessage="1" sqref="A14 A16 A12 A10 A18 Z20" xr:uid="{00000000-0002-0000-0100-000002000000}">
      <formula1>"X"</formula1>
    </dataValidation>
  </dataValidations>
  <hyperlinks>
    <hyperlink ref="A5" location="Instructions!A1" display="Instructions" xr:uid="{2B861A0A-DFC1-49B7-96B3-7836031BE8DE}"/>
    <hyperlink ref="A6:A7" location="Instructions!C4" display="Complete the Cover, School listing, and Accounting data tabs first. See instructions." xr:uid="{C77033CF-216B-4EE9-AB21-BE48DA9EFF98}"/>
    <hyperlink ref="A11:C11" location="websitelink" display="Charter website link of posted AFR" xr:uid="{D5CF705E-272C-4A1F-87E7-D9E01DFAACEB}"/>
    <hyperlink ref="D11" r:id="rId1" xr:uid="{E2545DEB-1333-487A-8DCF-BA4357537416}"/>
    <hyperlink ref="P23" r:id="rId2" xr:uid="{6FB7BC22-9AC1-4F76-9E09-669F38298700}"/>
    <hyperlink ref="P28" r:id="rId3" xr:uid="{4115553E-1CE5-4255-B677-81F76CE3053D}"/>
  </hyperlinks>
  <pageMargins left="0.7" right="0.7" top="0.75" bottom="0.75" header="0.3" footer="0.3"/>
  <pageSetup scale="72" orientation="landscape" r:id="rId4"/>
  <headerFooter>
    <oddFooter>&amp;LRev. 8/25 Arizona Department of Education and Auditor General&amp;CFY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A64"/>
  <sheetViews>
    <sheetView showGridLines="0" topLeftCell="A32" workbookViewId="0">
      <selection activeCell="A32" sqref="A1:XFD1048576"/>
    </sheetView>
  </sheetViews>
  <sheetFormatPr defaultColWidth="9.33203125" defaultRowHeight="12.75" customHeight="1" x14ac:dyDescent="0.2"/>
  <cols>
    <col min="1" max="1" width="19.83203125" style="151" customWidth="1"/>
    <col min="2" max="2" width="42.83203125" style="151" customWidth="1"/>
    <col min="3" max="3" width="3" style="151" customWidth="1"/>
    <col min="4" max="6" width="16.83203125" style="151" customWidth="1"/>
    <col min="7" max="7" width="18.6640625" style="151" customWidth="1"/>
    <col min="8" max="10" width="17.83203125" style="154" customWidth="1"/>
    <col min="11" max="11" width="16.83203125" style="154" customWidth="1"/>
    <col min="12" max="12" width="3" style="151" customWidth="1"/>
    <col min="13" max="13" width="10.83203125" style="151" customWidth="1"/>
    <col min="14" max="14" width="9.33203125" style="151" customWidth="1"/>
    <col min="15" max="15" width="2.33203125" style="151" customWidth="1"/>
    <col min="16" max="16" width="9.33203125" style="151" customWidth="1"/>
    <col min="17" max="25" width="9.33203125" style="151" hidden="1" customWidth="1"/>
    <col min="26" max="29" width="9.33203125" style="151" customWidth="1"/>
    <col min="30" max="16384" width="9.33203125" style="151"/>
  </cols>
  <sheetData>
    <row r="1" spans="1:27" ht="12" customHeight="1" x14ac:dyDescent="0.2">
      <c r="A1" s="3" t="s">
        <v>0</v>
      </c>
      <c r="B1" s="1" t="str">
        <f>'Cover Page'!D1</f>
        <v>ASU Preparatory Academy- Polytechnic MS</v>
      </c>
      <c r="C1" s="4"/>
      <c r="D1"/>
      <c r="E1" s="59" t="s">
        <v>1</v>
      </c>
      <c r="F1" s="813" t="str">
        <f>'Cover Page'!M1</f>
        <v>Maricopa</v>
      </c>
      <c r="G1" s="813"/>
      <c r="H1"/>
      <c r="I1" s="59"/>
      <c r="J1" s="59" t="s">
        <v>2</v>
      </c>
      <c r="K1" s="2" t="str">
        <f>'Cover Page'!R1</f>
        <v>078251000</v>
      </c>
      <c r="L1" s="257"/>
      <c r="M1" s="4"/>
      <c r="N1" s="577"/>
      <c r="O1" s="577"/>
    </row>
    <row r="2" spans="1:27" ht="12" customHeight="1" x14ac:dyDescent="0.2">
      <c r="A2" s="59"/>
      <c r="B2" s="59"/>
      <c r="C2" s="3"/>
      <c r="D2" s="4"/>
      <c r="E2"/>
      <c r="F2"/>
      <c r="G2"/>
      <c r="H2" s="59"/>
      <c r="I2" s="4"/>
      <c r="J2" s="4"/>
      <c r="K2" s="4"/>
      <c r="L2"/>
      <c r="M2" s="4"/>
      <c r="N2" s="577"/>
      <c r="O2" s="577"/>
    </row>
    <row r="3" spans="1:27" ht="12" customHeight="1" x14ac:dyDescent="0.2">
      <c r="A3" s="258"/>
      <c r="B3" s="258"/>
      <c r="C3" s="258"/>
      <c r="D3" s="258"/>
      <c r="E3" s="258"/>
      <c r="F3" s="258"/>
      <c r="G3" s="258"/>
      <c r="H3" s="258"/>
      <c r="I3" s="258"/>
      <c r="J3" s="258"/>
      <c r="K3" s="258"/>
      <c r="L3" s="258"/>
      <c r="M3" s="258"/>
    </row>
    <row r="4" spans="1:27" ht="12" customHeight="1" x14ac:dyDescent="0.2">
      <c r="A4" s="258"/>
      <c r="B4" s="258"/>
      <c r="C4" s="906" t="s">
        <v>350</v>
      </c>
      <c r="D4" s="906"/>
      <c r="E4" s="906"/>
      <c r="F4" s="906"/>
      <c r="G4" s="906"/>
      <c r="H4" s="906"/>
      <c r="I4" s="906"/>
      <c r="J4" s="906"/>
      <c r="K4" s="906"/>
      <c r="L4" s="906"/>
      <c r="M4" s="258"/>
    </row>
    <row r="5" spans="1:27" ht="12" customHeight="1" x14ac:dyDescent="0.2">
      <c r="B5" s="653" t="s">
        <v>726</v>
      </c>
    </row>
    <row r="6" spans="1:27" ht="12" customHeight="1" x14ac:dyDescent="0.2">
      <c r="A6" s="259"/>
      <c r="B6" s="259"/>
      <c r="D6" s="907" t="s">
        <v>351</v>
      </c>
      <c r="E6" s="907"/>
      <c r="F6" s="907"/>
      <c r="G6" s="907"/>
      <c r="H6" s="907"/>
      <c r="I6" s="907"/>
      <c r="J6" s="907"/>
      <c r="K6" s="907"/>
      <c r="L6" s="260"/>
      <c r="M6" s="154"/>
      <c r="N6" s="154"/>
      <c r="V6" s="261"/>
    </row>
    <row r="7" spans="1:27" ht="12" customHeight="1" x14ac:dyDescent="0.2">
      <c r="D7" s="262"/>
      <c r="E7" s="263"/>
      <c r="F7" s="263" t="s">
        <v>150</v>
      </c>
      <c r="G7" s="263"/>
      <c r="H7" s="263"/>
      <c r="I7" s="264"/>
      <c r="J7" s="264" t="s">
        <v>94</v>
      </c>
      <c r="K7" s="265"/>
      <c r="L7" s="266"/>
      <c r="M7" s="154"/>
      <c r="N7" s="154"/>
      <c r="T7" s="261"/>
      <c r="V7" s="261"/>
    </row>
    <row r="8" spans="1:27" ht="12" customHeight="1" x14ac:dyDescent="0.2">
      <c r="D8" s="267"/>
      <c r="E8" s="268" t="s">
        <v>85</v>
      </c>
      <c r="F8" s="268" t="s">
        <v>92</v>
      </c>
      <c r="G8" s="268"/>
      <c r="H8" s="269" t="s">
        <v>352</v>
      </c>
      <c r="I8" s="269"/>
      <c r="J8" s="269" t="s">
        <v>353</v>
      </c>
      <c r="K8" s="265"/>
      <c r="L8" s="270"/>
      <c r="N8" s="154"/>
      <c r="U8" s="261"/>
    </row>
    <row r="9" spans="1:27" ht="12" customHeight="1" x14ac:dyDescent="0.2">
      <c r="D9" s="268" t="s">
        <v>90</v>
      </c>
      <c r="E9" s="271" t="s">
        <v>91</v>
      </c>
      <c r="F9" s="271" t="s">
        <v>354</v>
      </c>
      <c r="G9" s="271" t="s">
        <v>93</v>
      </c>
      <c r="H9" s="269" t="s">
        <v>355</v>
      </c>
      <c r="I9" s="272" t="s">
        <v>356</v>
      </c>
      <c r="J9" s="272" t="s">
        <v>357</v>
      </c>
      <c r="K9" s="273" t="s">
        <v>358</v>
      </c>
      <c r="L9" s="270"/>
      <c r="N9" s="154"/>
      <c r="U9" s="261"/>
      <c r="AA9" s="261"/>
    </row>
    <row r="10" spans="1:27" ht="12" customHeight="1" x14ac:dyDescent="0.2">
      <c r="A10" s="274" t="s">
        <v>359</v>
      </c>
      <c r="B10" s="274"/>
      <c r="D10" s="271">
        <v>6100</v>
      </c>
      <c r="E10" s="271">
        <v>6200</v>
      </c>
      <c r="F10" s="271">
        <v>6500</v>
      </c>
      <c r="G10" s="271">
        <v>6600</v>
      </c>
      <c r="H10" s="271">
        <v>6810</v>
      </c>
      <c r="I10" s="272">
        <v>6890</v>
      </c>
      <c r="J10" s="272" t="s">
        <v>360</v>
      </c>
      <c r="K10" s="275" t="s">
        <v>361</v>
      </c>
      <c r="L10" s="270"/>
      <c r="N10" s="154"/>
      <c r="S10" s="261"/>
      <c r="AA10" s="154"/>
    </row>
    <row r="11" spans="1:27" ht="12" customHeight="1" x14ac:dyDescent="0.2">
      <c r="A11" s="574" t="s">
        <v>197</v>
      </c>
      <c r="B11" s="574"/>
      <c r="C11" s="276" t="s">
        <v>24</v>
      </c>
      <c r="D11" s="549">
        <f>Calculations!E8</f>
        <v>1470591</v>
      </c>
      <c r="E11" s="549">
        <f>Calculations!E113</f>
        <v>443332</v>
      </c>
      <c r="F11" s="549">
        <f>Calculations!E238</f>
        <v>90519</v>
      </c>
      <c r="G11" s="549">
        <f>Calculations!E636</f>
        <v>101225</v>
      </c>
      <c r="H11" s="549">
        <f>Calculations!E951</f>
        <v>34626</v>
      </c>
      <c r="I11" s="549">
        <f>Calculations!E1116</f>
        <v>0</v>
      </c>
      <c r="J11" s="549">
        <f>Calculations!E1454-H11-I11</f>
        <v>0</v>
      </c>
      <c r="K11" s="542">
        <v>0</v>
      </c>
      <c r="L11" s="277" t="s">
        <v>24</v>
      </c>
      <c r="N11" s="154"/>
      <c r="S11" s="261"/>
      <c r="AA11" s="278" t="str">
        <f>IF(OR(K11="",K14="",K13="",K15="",K16="",K17="",K18="",K19="",K21="",K22="",K24="",K25="",K26=""),"yes","")</f>
        <v/>
      </c>
    </row>
    <row r="12" spans="1:27" ht="12" customHeight="1" x14ac:dyDescent="0.2">
      <c r="A12" s="151" t="s">
        <v>198</v>
      </c>
      <c r="C12" s="276"/>
      <c r="D12" s="279"/>
      <c r="E12" s="279"/>
      <c r="F12" s="279"/>
      <c r="G12" s="279"/>
      <c r="H12" s="279"/>
      <c r="I12" s="279"/>
      <c r="J12" s="279"/>
      <c r="K12" s="85"/>
      <c r="L12" s="277"/>
      <c r="N12" s="154"/>
      <c r="S12" s="261"/>
      <c r="AA12" s="278" t="str">
        <f>IF(OR(E33="",E34="",E35="",E36="",E40="",E41="",E42="",E43="",E44="",E49="",E53="",E54="",E55="",E56=""),"yes","")</f>
        <v/>
      </c>
    </row>
    <row r="13" spans="1:27" ht="12" customHeight="1" x14ac:dyDescent="0.2">
      <c r="A13" s="574" t="s">
        <v>362</v>
      </c>
      <c r="B13" s="574"/>
      <c r="C13" s="276" t="s">
        <v>26</v>
      </c>
      <c r="D13" s="554">
        <f>Calculations!E15</f>
        <v>331136</v>
      </c>
      <c r="E13" s="554">
        <f>Calculations!E120</f>
        <v>105032</v>
      </c>
      <c r="F13" s="554">
        <f>Calculations!E265</f>
        <v>38586</v>
      </c>
      <c r="G13" s="554">
        <f>Calculations!E643</f>
        <v>8184</v>
      </c>
      <c r="H13" s="554">
        <f>Calculations!E958</f>
        <v>449</v>
      </c>
      <c r="I13" s="554">
        <f>Calculations!E1123</f>
        <v>5</v>
      </c>
      <c r="J13" s="554">
        <f>Calculations!E1459-H13-I13</f>
        <v>-1</v>
      </c>
      <c r="K13" s="50">
        <v>0</v>
      </c>
      <c r="L13" s="277" t="s">
        <v>26</v>
      </c>
      <c r="W13" s="261"/>
      <c r="AA13" s="278" t="str">
        <f>IF(OR(K30="",K31="",K32="",K36="",K37="",K38="",K41="",K42="",K46="",K47="",K51="",K52="",K53="",K54="",K55="",K56="",K59="",K60=""),"yes","")</f>
        <v/>
      </c>
    </row>
    <row r="14" spans="1:27" ht="12" customHeight="1" x14ac:dyDescent="0.2">
      <c r="A14" s="574" t="s">
        <v>363</v>
      </c>
      <c r="B14" s="574"/>
      <c r="C14" s="276" t="s">
        <v>28</v>
      </c>
      <c r="D14" s="549">
        <f>Calculations!E22</f>
        <v>37570</v>
      </c>
      <c r="E14" s="549">
        <f>Calculations!E127</f>
        <v>12288</v>
      </c>
      <c r="F14" s="549">
        <f>Calculations!E292</f>
        <v>10248</v>
      </c>
      <c r="G14" s="549">
        <f>Calculations!E650</f>
        <v>2494</v>
      </c>
      <c r="H14" s="549">
        <f>Calculations!E965</f>
        <v>1307</v>
      </c>
      <c r="I14" s="549">
        <f>Calculations!E1130</f>
        <v>0</v>
      </c>
      <c r="J14" s="549">
        <f>Calculations!E1464-H14-I14</f>
        <v>0</v>
      </c>
      <c r="K14" s="50">
        <v>0</v>
      </c>
      <c r="L14" s="280" t="s">
        <v>28</v>
      </c>
      <c r="N14" s="154"/>
      <c r="W14" s="261"/>
      <c r="AA14" s="278" t="str">
        <f>IF(AND(AA11="",AA12="",AA13=""),"","yes")</f>
        <v/>
      </c>
    </row>
    <row r="15" spans="1:27" ht="12" customHeight="1" x14ac:dyDescent="0.2">
      <c r="A15" s="574" t="s">
        <v>364</v>
      </c>
      <c r="B15" s="574"/>
      <c r="C15" s="276" t="s">
        <v>31</v>
      </c>
      <c r="D15" s="549">
        <f>Calculations!E29</f>
        <v>21842</v>
      </c>
      <c r="E15" s="549">
        <f>Calculations!E134</f>
        <v>5342</v>
      </c>
      <c r="F15" s="549">
        <f>Calculations!E319</f>
        <v>3763</v>
      </c>
      <c r="G15" s="549">
        <f>Calculations!E657</f>
        <v>224</v>
      </c>
      <c r="H15" s="549">
        <f>Calculations!E972</f>
        <v>3753</v>
      </c>
      <c r="I15" s="549">
        <f>Calculations!E1137</f>
        <v>-12</v>
      </c>
      <c r="J15" s="549">
        <f>Calculations!E1469-H15-I15</f>
        <v>0</v>
      </c>
      <c r="K15" s="49">
        <v>0</v>
      </c>
      <c r="L15" s="280" t="s">
        <v>31</v>
      </c>
    </row>
    <row r="16" spans="1:27" ht="12" customHeight="1" x14ac:dyDescent="0.2">
      <c r="A16" s="281" t="s">
        <v>365</v>
      </c>
      <c r="B16" s="281"/>
      <c r="C16" s="282" t="s">
        <v>33</v>
      </c>
      <c r="D16" s="549">
        <f>Calculations!E36</f>
        <v>57217</v>
      </c>
      <c r="E16" s="549">
        <f>Calculations!E141</f>
        <v>27194</v>
      </c>
      <c r="F16" s="549">
        <f>Calculations!E346</f>
        <v>748</v>
      </c>
      <c r="G16" s="549">
        <f>Calculations!E664</f>
        <v>2734</v>
      </c>
      <c r="H16" s="549">
        <f>Calculations!E979</f>
        <v>2256</v>
      </c>
      <c r="I16" s="549">
        <f>Calculations!E1144</f>
        <v>0</v>
      </c>
      <c r="J16" s="549">
        <f>Calculations!E1474-H16-I16</f>
        <v>0</v>
      </c>
      <c r="K16" s="49">
        <v>0</v>
      </c>
      <c r="L16" s="283" t="s">
        <v>33</v>
      </c>
    </row>
    <row r="17" spans="1:12" ht="12" customHeight="1" x14ac:dyDescent="0.2">
      <c r="A17" s="284" t="s">
        <v>366</v>
      </c>
      <c r="B17" s="284"/>
      <c r="C17" s="282" t="s">
        <v>35</v>
      </c>
      <c r="D17" s="549">
        <f>Calculations!E43+Calculations!E50</f>
        <v>261572</v>
      </c>
      <c r="E17" s="549">
        <f>Calculations!E148+Calculations!E155</f>
        <v>95035</v>
      </c>
      <c r="F17" s="549">
        <f>Calculations!E373+Calculations!E400</f>
        <v>171263</v>
      </c>
      <c r="G17" s="549">
        <f>Calculations!E671+Calculations!E678</f>
        <v>10098</v>
      </c>
      <c r="H17" s="549">
        <f>Calculations!E986+Calculations!E993</f>
        <v>69824</v>
      </c>
      <c r="I17" s="549">
        <f>Calculations!E1151+Calculations!E1158</f>
        <v>-7</v>
      </c>
      <c r="J17" s="549">
        <f>Calculations!E1479+Calculations!E1484-Calculations!E1082-H17-I17</f>
        <v>129</v>
      </c>
      <c r="K17" s="49">
        <v>0</v>
      </c>
      <c r="L17" s="283" t="s">
        <v>35</v>
      </c>
    </row>
    <row r="18" spans="1:12" ht="12" customHeight="1" x14ac:dyDescent="0.2">
      <c r="A18" s="574" t="s">
        <v>367</v>
      </c>
      <c r="B18" s="574"/>
      <c r="C18" s="282" t="s">
        <v>36</v>
      </c>
      <c r="D18" s="549">
        <f>Calculations!E57</f>
        <v>22749</v>
      </c>
      <c r="E18" s="549">
        <f>Calculations!E162</f>
        <v>7463</v>
      </c>
      <c r="F18" s="549">
        <f>Calculations!E427</f>
        <v>1282966</v>
      </c>
      <c r="G18" s="549">
        <f>Calculations!E685</f>
        <v>60367</v>
      </c>
      <c r="H18" s="549">
        <f>Calculations!E1000</f>
        <v>3082</v>
      </c>
      <c r="I18" s="549">
        <f>Calculations!E1165</f>
        <v>0</v>
      </c>
      <c r="J18" s="549">
        <f>Calculations!E1489-H18-I18</f>
        <v>0</v>
      </c>
      <c r="K18" s="49">
        <v>0</v>
      </c>
      <c r="L18" s="283" t="s">
        <v>36</v>
      </c>
    </row>
    <row r="19" spans="1:12" ht="12" customHeight="1" x14ac:dyDescent="0.2">
      <c r="A19" s="285" t="s">
        <v>368</v>
      </c>
      <c r="B19" s="285"/>
      <c r="C19" s="282" t="s">
        <v>38</v>
      </c>
      <c r="D19" s="549">
        <f>Calculations!E64</f>
        <v>2761</v>
      </c>
      <c r="E19" s="549">
        <f>Calculations!E169</f>
        <v>1162</v>
      </c>
      <c r="F19" s="549">
        <f>Calculations!E454</f>
        <v>9223</v>
      </c>
      <c r="G19" s="549">
        <f>Calculations!E692</f>
        <v>0</v>
      </c>
      <c r="H19" s="549">
        <f>Calculations!E1007</f>
        <v>0</v>
      </c>
      <c r="I19" s="549">
        <f>Calculations!E1172</f>
        <v>0</v>
      </c>
      <c r="J19" s="549">
        <f>Calculations!E1494-H19-I19</f>
        <v>0</v>
      </c>
      <c r="K19" s="52">
        <v>0</v>
      </c>
      <c r="L19" s="283" t="s">
        <v>38</v>
      </c>
    </row>
    <row r="20" spans="1:12" ht="12" customHeight="1" x14ac:dyDescent="0.2">
      <c r="A20" s="574" t="s">
        <v>369</v>
      </c>
      <c r="B20" s="574"/>
      <c r="C20" s="282"/>
      <c r="D20" s="279"/>
      <c r="E20" s="279"/>
      <c r="F20" s="279"/>
      <c r="G20" s="279"/>
      <c r="H20" s="279"/>
      <c r="I20" s="279"/>
      <c r="J20" s="279"/>
      <c r="K20" s="85"/>
      <c r="L20" s="286"/>
    </row>
    <row r="21" spans="1:12" ht="12" customHeight="1" x14ac:dyDescent="0.2">
      <c r="A21" s="285" t="s">
        <v>370</v>
      </c>
      <c r="B21" s="285"/>
      <c r="C21" s="282" t="s">
        <v>40</v>
      </c>
      <c r="D21" s="554">
        <f>Calculations!E71</f>
        <v>37</v>
      </c>
      <c r="E21" s="554">
        <f>Calculations!E176</f>
        <v>7</v>
      </c>
      <c r="F21" s="554">
        <f>Calculations!E481</f>
        <v>0</v>
      </c>
      <c r="G21" s="554">
        <f>Calculations!E699</f>
        <v>0</v>
      </c>
      <c r="H21" s="554">
        <f>Calculations!E1014</f>
        <v>0</v>
      </c>
      <c r="I21" s="554">
        <f>Calculations!E1179</f>
        <v>0</v>
      </c>
      <c r="J21" s="554">
        <f>Calculations!E1499-H21-I21</f>
        <v>0</v>
      </c>
      <c r="K21" s="50">
        <v>0</v>
      </c>
      <c r="L21" s="286" t="s">
        <v>40</v>
      </c>
    </row>
    <row r="22" spans="1:12" ht="12" customHeight="1" x14ac:dyDescent="0.2">
      <c r="A22" s="285" t="s">
        <v>371</v>
      </c>
      <c r="B22" s="285"/>
      <c r="C22" s="282" t="s">
        <v>42</v>
      </c>
      <c r="D22" s="549">
        <f>Calculations!E85</f>
        <v>0</v>
      </c>
      <c r="E22" s="549">
        <f>Calculations!E190</f>
        <v>0</v>
      </c>
      <c r="F22" s="549">
        <f>Calculations!E535</f>
        <v>0</v>
      </c>
      <c r="G22" s="549">
        <f>Calculations!E713</f>
        <v>0</v>
      </c>
      <c r="H22" s="549">
        <f>Calculations!E1028</f>
        <v>0</v>
      </c>
      <c r="I22" s="549">
        <f>Calculations!E1193</f>
        <v>0</v>
      </c>
      <c r="J22" s="549">
        <f>Calculations!E1504-H22-I22</f>
        <v>0</v>
      </c>
      <c r="K22" s="50">
        <v>0</v>
      </c>
      <c r="L22" s="283" t="s">
        <v>42</v>
      </c>
    </row>
    <row r="23" spans="1:12" ht="12" customHeight="1" x14ac:dyDescent="0.2">
      <c r="A23" s="285" t="s">
        <v>372</v>
      </c>
      <c r="B23" s="285"/>
      <c r="C23" s="282" t="s">
        <v>44</v>
      </c>
      <c r="D23" s="549">
        <f t="shared" ref="D23:K23" si="0">SUM(D11:D22)</f>
        <v>2205475</v>
      </c>
      <c r="E23" s="549">
        <f t="shared" si="0"/>
        <v>696855</v>
      </c>
      <c r="F23" s="549">
        <f t="shared" si="0"/>
        <v>1607316</v>
      </c>
      <c r="G23" s="549">
        <f t="shared" si="0"/>
        <v>185326</v>
      </c>
      <c r="H23" s="549">
        <f t="shared" si="0"/>
        <v>115297</v>
      </c>
      <c r="I23" s="549">
        <f t="shared" si="0"/>
        <v>-14</v>
      </c>
      <c r="J23" s="549">
        <f t="shared" si="0"/>
        <v>128</v>
      </c>
      <c r="K23" s="549">
        <f t="shared" si="0"/>
        <v>0</v>
      </c>
      <c r="L23" s="283" t="s">
        <v>44</v>
      </c>
    </row>
    <row r="24" spans="1:12" ht="12" customHeight="1" x14ac:dyDescent="0.2">
      <c r="A24" s="285" t="s">
        <v>373</v>
      </c>
      <c r="B24" s="285"/>
      <c r="C24" s="282" t="s">
        <v>45</v>
      </c>
      <c r="D24" s="549">
        <f>Calculations!E106</f>
        <v>37191</v>
      </c>
      <c r="E24" s="549">
        <f>Calculations!E211</f>
        <v>10233</v>
      </c>
      <c r="F24" s="549">
        <f>Calculations!E629</f>
        <v>4457</v>
      </c>
      <c r="G24" s="547">
        <f>Calculations!E734+'Food Service'!$E$10+'Food Service'!$E$11</f>
        <v>698</v>
      </c>
      <c r="H24" s="549">
        <f>Calculations!E1049</f>
        <v>0</v>
      </c>
      <c r="I24" s="549">
        <f>Calculations!E1214</f>
        <v>0</v>
      </c>
      <c r="J24" s="549">
        <f>Calculations!E1518-Calculations!E1109-H24-I24</f>
        <v>0</v>
      </c>
      <c r="K24" s="49">
        <v>0</v>
      </c>
      <c r="L24" s="283" t="s">
        <v>45</v>
      </c>
    </row>
    <row r="25" spans="1:12" ht="12" customHeight="1" x14ac:dyDescent="0.2">
      <c r="A25" s="285" t="s">
        <v>374</v>
      </c>
      <c r="B25" s="285"/>
      <c r="C25" s="282" t="s">
        <v>47</v>
      </c>
      <c r="D25" s="549">
        <f>Calculations!E93-Calculations!E106</f>
        <v>2168284</v>
      </c>
      <c r="E25" s="549">
        <f>Calculations!E198-Calculations!E211</f>
        <v>686622</v>
      </c>
      <c r="F25" s="549">
        <f>Calculations!E563-Calculations!E629</f>
        <v>1602859</v>
      </c>
      <c r="G25" s="547">
        <f>Calculations!E721-Calculations!E734-'Food Service'!$E$10-'Food Service'!$E$11</f>
        <v>184628</v>
      </c>
      <c r="H25" s="549">
        <f>Calculations!E1036-Calculations!E1049</f>
        <v>115297</v>
      </c>
      <c r="I25" s="549">
        <f>Calculations!E1201-Calculations!E1214</f>
        <v>-14</v>
      </c>
      <c r="J25" s="549">
        <f>Calculations!E1505-Calculations!E1518-Calculations!E1082-H25-I25</f>
        <v>128</v>
      </c>
      <c r="K25" s="49">
        <v>0</v>
      </c>
      <c r="L25" s="283" t="s">
        <v>47</v>
      </c>
    </row>
    <row r="26" spans="1:12" ht="12" customHeight="1" x14ac:dyDescent="0.2">
      <c r="A26" s="285" t="s">
        <v>375</v>
      </c>
      <c r="B26" s="285"/>
      <c r="C26" s="282" t="s">
        <v>49</v>
      </c>
      <c r="D26" s="549">
        <f>Calculations!E92</f>
        <v>0</v>
      </c>
      <c r="E26" s="549">
        <f>Calculations!E197</f>
        <v>0</v>
      </c>
      <c r="F26" s="549">
        <f>Calculations!E562</f>
        <v>0</v>
      </c>
      <c r="G26" s="549">
        <f>Calculations!E720</f>
        <v>0</v>
      </c>
      <c r="H26" s="549">
        <f>Calculations!E1035</f>
        <v>0</v>
      </c>
      <c r="I26" s="549">
        <f>Calculations!E1200</f>
        <v>0</v>
      </c>
      <c r="J26" s="549">
        <f>Calculations!E1523-H26-I26</f>
        <v>0</v>
      </c>
      <c r="K26" s="49">
        <v>0</v>
      </c>
      <c r="L26" s="283" t="s">
        <v>49</v>
      </c>
    </row>
    <row r="27" spans="1:12" ht="12" customHeight="1" x14ac:dyDescent="0.2">
      <c r="B27" s="574"/>
      <c r="C27" s="282"/>
      <c r="D27" s="287"/>
      <c r="E27" s="287"/>
      <c r="F27" s="287"/>
      <c r="G27" s="287"/>
      <c r="H27" s="287"/>
      <c r="I27" s="287"/>
      <c r="J27" s="287"/>
      <c r="K27" s="288"/>
      <c r="L27" s="287"/>
    </row>
    <row r="28" spans="1:12" hidden="1" x14ac:dyDescent="0.2">
      <c r="A28" s="289"/>
      <c r="B28" s="574"/>
      <c r="C28" s="282"/>
      <c r="D28" s="287"/>
      <c r="E28" s="287"/>
      <c r="F28" s="287"/>
      <c r="G28" s="287"/>
      <c r="H28" s="287"/>
      <c r="I28" s="287"/>
      <c r="J28" s="287"/>
      <c r="K28" s="288"/>
      <c r="L28" s="287"/>
    </row>
    <row r="29" spans="1:12" ht="12" customHeight="1" x14ac:dyDescent="0.2">
      <c r="A29" s="290"/>
      <c r="B29" s="290"/>
      <c r="C29" s="290"/>
      <c r="D29" s="291" t="s">
        <v>376</v>
      </c>
      <c r="E29" s="292"/>
      <c r="F29" s="293"/>
      <c r="H29" s="294" t="s">
        <v>1321</v>
      </c>
      <c r="I29" s="209"/>
      <c r="J29" s="294"/>
    </row>
    <row r="30" spans="1:12" ht="12" customHeight="1" x14ac:dyDescent="0.2">
      <c r="A30" s="290"/>
      <c r="B30" s="290"/>
      <c r="C30" s="295"/>
      <c r="D30" s="150" t="s">
        <v>377</v>
      </c>
      <c r="E30" s="296"/>
      <c r="F30" s="293"/>
      <c r="H30" s="904" t="s">
        <v>378</v>
      </c>
      <c r="I30" s="904"/>
      <c r="J30" s="908"/>
      <c r="K30" s="49">
        <v>0</v>
      </c>
      <c r="L30" s="297" t="s">
        <v>24</v>
      </c>
    </row>
    <row r="31" spans="1:12" ht="12" customHeight="1" x14ac:dyDescent="0.2">
      <c r="A31" s="290"/>
      <c r="B31" s="290"/>
      <c r="C31" s="295"/>
      <c r="D31" s="150" t="s">
        <v>379</v>
      </c>
      <c r="E31" s="298" t="s">
        <v>380</v>
      </c>
      <c r="F31" s="293"/>
      <c r="H31" s="904" t="s">
        <v>381</v>
      </c>
      <c r="I31" s="904"/>
      <c r="J31" s="908"/>
      <c r="K31" s="49">
        <v>0</v>
      </c>
      <c r="L31" s="297" t="s">
        <v>26</v>
      </c>
    </row>
    <row r="32" spans="1:12" ht="12" customHeight="1" x14ac:dyDescent="0.2">
      <c r="A32" s="290"/>
      <c r="B32" s="290"/>
      <c r="C32" s="295"/>
      <c r="D32" s="299" t="s">
        <v>382</v>
      </c>
      <c r="E32" s="300" t="s">
        <v>361</v>
      </c>
      <c r="F32" s="290"/>
      <c r="H32" s="904" t="s">
        <v>383</v>
      </c>
      <c r="I32" s="904"/>
      <c r="J32" s="908"/>
      <c r="K32" s="49">
        <f>CashBal</f>
        <v>229169</v>
      </c>
      <c r="L32" s="297" t="s">
        <v>28</v>
      </c>
    </row>
    <row r="33" spans="1:12" ht="12" customHeight="1" x14ac:dyDescent="0.2">
      <c r="A33" s="902" t="s">
        <v>384</v>
      </c>
      <c r="B33" s="902"/>
      <c r="C33" s="301"/>
      <c r="D33" s="549">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9">
        <v>0</v>
      </c>
      <c r="F33" s="302" t="s">
        <v>24</v>
      </c>
      <c r="H33" s="151"/>
      <c r="I33" s="151"/>
      <c r="J33" s="151"/>
      <c r="K33" s="303"/>
    </row>
    <row r="34" spans="1:12" ht="12" customHeight="1" x14ac:dyDescent="0.2">
      <c r="A34" s="904" t="s">
        <v>385</v>
      </c>
      <c r="B34" s="904"/>
      <c r="C34" s="575"/>
      <c r="D34" s="549">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9">
        <v>0</v>
      </c>
      <c r="F34" s="302" t="s">
        <v>26</v>
      </c>
      <c r="H34" s="151"/>
      <c r="I34" s="151"/>
      <c r="J34" s="151"/>
      <c r="K34" s="303"/>
    </row>
    <row r="35" spans="1:12" ht="12" customHeight="1" x14ac:dyDescent="0.2">
      <c r="A35" s="904" t="s">
        <v>386</v>
      </c>
      <c r="B35" s="904"/>
      <c r="C35" s="575"/>
      <c r="D35" s="549">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21268</v>
      </c>
      <c r="E35" s="49">
        <v>0</v>
      </c>
      <c r="F35" s="302" t="s">
        <v>28</v>
      </c>
      <c r="H35" s="294" t="s">
        <v>387</v>
      </c>
      <c r="I35" s="209"/>
      <c r="J35" s="151"/>
      <c r="K35" s="303"/>
    </row>
    <row r="36" spans="1:12" ht="12" customHeight="1" x14ac:dyDescent="0.2">
      <c r="A36" s="904" t="s">
        <v>388</v>
      </c>
      <c r="B36" s="904"/>
      <c r="C36" s="301"/>
      <c r="D36" s="549">
        <f>Calculations!E1335</f>
        <v>21268</v>
      </c>
      <c r="E36" s="49">
        <v>0</v>
      </c>
      <c r="F36" s="286" t="s">
        <v>31</v>
      </c>
      <c r="H36" s="900" t="s">
        <v>1314</v>
      </c>
      <c r="I36" s="900"/>
      <c r="J36" s="901"/>
      <c r="K36" s="49">
        <v>0</v>
      </c>
      <c r="L36" s="297" t="s">
        <v>24</v>
      </c>
    </row>
    <row r="37" spans="1:12" ht="12" customHeight="1" x14ac:dyDescent="0.2">
      <c r="C37" s="297"/>
      <c r="E37" s="154"/>
      <c r="F37" s="302"/>
      <c r="H37" s="900" t="s">
        <v>1315</v>
      </c>
      <c r="I37" s="900"/>
      <c r="J37" s="901"/>
      <c r="K37" s="49">
        <v>0</v>
      </c>
      <c r="L37" s="297" t="s">
        <v>26</v>
      </c>
    </row>
    <row r="38" spans="1:12" ht="12" customHeight="1" x14ac:dyDescent="0.2">
      <c r="C38" s="297"/>
      <c r="E38" s="154"/>
      <c r="F38" s="302"/>
      <c r="H38" s="900" t="s">
        <v>1316</v>
      </c>
      <c r="I38" s="900"/>
      <c r="J38" s="901"/>
      <c r="K38" s="49">
        <v>0</v>
      </c>
      <c r="L38" s="297" t="s">
        <v>28</v>
      </c>
    </row>
    <row r="39" spans="1:12" ht="12" customHeight="1" x14ac:dyDescent="0.2">
      <c r="A39" s="294" t="s">
        <v>389</v>
      </c>
      <c r="B39" s="209"/>
      <c r="E39" s="304" t="s">
        <v>390</v>
      </c>
      <c r="F39"/>
      <c r="H39" s="900" t="s">
        <v>1317</v>
      </c>
      <c r="I39" s="900"/>
      <c r="J39" s="901"/>
      <c r="K39" s="549">
        <f>K36+K37-K38</f>
        <v>0</v>
      </c>
      <c r="L39" s="297" t="s">
        <v>31</v>
      </c>
    </row>
    <row r="40" spans="1:12" ht="12" customHeight="1" x14ac:dyDescent="0.2">
      <c r="A40" s="905" t="s">
        <v>391</v>
      </c>
      <c r="B40" s="819"/>
      <c r="E40" s="51">
        <v>0</v>
      </c>
      <c r="F40" s="215" t="s">
        <v>24</v>
      </c>
      <c r="K40" s="303"/>
    </row>
    <row r="41" spans="1:12" ht="12" customHeight="1" x14ac:dyDescent="0.2">
      <c r="A41" s="819" t="s">
        <v>392</v>
      </c>
      <c r="B41" s="819"/>
      <c r="C41" s="305"/>
      <c r="E41" s="51">
        <v>0</v>
      </c>
      <c r="F41" s="286" t="s">
        <v>26</v>
      </c>
      <c r="H41" s="900" t="s">
        <v>1318</v>
      </c>
      <c r="I41" s="900"/>
      <c r="J41" s="900"/>
      <c r="K41" s="51">
        <v>0</v>
      </c>
      <c r="L41" s="297" t="s">
        <v>33</v>
      </c>
    </row>
    <row r="42" spans="1:12" ht="12" customHeight="1" x14ac:dyDescent="0.2">
      <c r="A42" s="819" t="s">
        <v>393</v>
      </c>
      <c r="B42" s="819"/>
      <c r="C42" s="305"/>
      <c r="E42" s="51">
        <v>0</v>
      </c>
      <c r="F42" s="286" t="s">
        <v>28</v>
      </c>
      <c r="H42" s="900" t="s">
        <v>1319</v>
      </c>
      <c r="I42" s="900"/>
      <c r="J42" s="900"/>
      <c r="K42" s="51">
        <v>0</v>
      </c>
      <c r="L42" s="297" t="s">
        <v>35</v>
      </c>
    </row>
    <row r="43" spans="1:12" ht="12" customHeight="1" x14ac:dyDescent="0.2">
      <c r="A43" s="819" t="s">
        <v>394</v>
      </c>
      <c r="B43" s="819"/>
      <c r="C43" s="305"/>
      <c r="E43" s="51">
        <v>0</v>
      </c>
      <c r="F43" s="286" t="s">
        <v>31</v>
      </c>
      <c r="K43" s="303"/>
    </row>
    <row r="44" spans="1:12" ht="12" customHeight="1" x14ac:dyDescent="0.2">
      <c r="A44" s="819" t="s">
        <v>395</v>
      </c>
      <c r="B44" s="819"/>
      <c r="C44" s="305"/>
      <c r="E44" s="51">
        <v>0</v>
      </c>
      <c r="F44" s="286" t="s">
        <v>33</v>
      </c>
      <c r="H44" s="297"/>
      <c r="I44" s="306"/>
      <c r="J44" s="306"/>
      <c r="K44" s="307"/>
      <c r="L44" s="306"/>
    </row>
    <row r="45" spans="1:12" ht="12" customHeight="1" x14ac:dyDescent="0.2">
      <c r="A45"/>
      <c r="B45"/>
      <c r="C45" s="297"/>
      <c r="E45"/>
      <c r="F45"/>
      <c r="H45" s="294" t="s">
        <v>396</v>
      </c>
      <c r="I45" s="209"/>
      <c r="J45" s="294"/>
      <c r="K45" s="303"/>
    </row>
    <row r="46" spans="1:12" ht="12.75" customHeight="1" x14ac:dyDescent="0.2">
      <c r="E46" s="308"/>
      <c r="H46" s="902" t="s">
        <v>397</v>
      </c>
      <c r="I46" s="902"/>
      <c r="J46" s="903"/>
      <c r="K46" s="49">
        <v>15512</v>
      </c>
      <c r="L46" s="297" t="s">
        <v>24</v>
      </c>
    </row>
    <row r="47" spans="1:12" ht="12.75" customHeight="1" x14ac:dyDescent="0.2">
      <c r="A47" s="309" t="s">
        <v>398</v>
      </c>
      <c r="B47" s="310"/>
      <c r="C47" s="293"/>
      <c r="E47" s="311" t="s">
        <v>351</v>
      </c>
      <c r="H47" s="902" t="s">
        <v>399</v>
      </c>
      <c r="I47" s="902"/>
      <c r="J47" s="903"/>
      <c r="K47" s="49">
        <v>57870</v>
      </c>
      <c r="L47" s="297" t="s">
        <v>26</v>
      </c>
    </row>
    <row r="48" spans="1:12" ht="12.75" customHeight="1" x14ac:dyDescent="0.2">
      <c r="A48" s="574" t="s">
        <v>400</v>
      </c>
      <c r="B48" s="574"/>
      <c r="C48" s="312"/>
      <c r="E48" s="549">
        <f>Calculations!E1082+Calculations!E1449</f>
        <v>0</v>
      </c>
      <c r="F48" s="302" t="s">
        <v>24</v>
      </c>
      <c r="G48" s="574"/>
      <c r="K48" s="303"/>
    </row>
    <row r="49" spans="1:26" ht="12.75" customHeight="1" x14ac:dyDescent="0.2">
      <c r="A49" s="902" t="s">
        <v>401</v>
      </c>
      <c r="B49" s="902"/>
      <c r="C49" s="312"/>
      <c r="E49" s="49">
        <v>0</v>
      </c>
      <c r="F49" s="302" t="s">
        <v>26</v>
      </c>
      <c r="K49" s="303"/>
    </row>
    <row r="50" spans="1:26" ht="12.75" customHeight="1" x14ac:dyDescent="0.2">
      <c r="A50" s="904" t="s">
        <v>402</v>
      </c>
      <c r="B50" s="904"/>
      <c r="E50" s="549">
        <f>Calculations!E1539-Calculations!E1449</f>
        <v>0</v>
      </c>
      <c r="F50" s="313" t="s">
        <v>28</v>
      </c>
      <c r="H50" s="294" t="s">
        <v>403</v>
      </c>
      <c r="I50" s="294"/>
      <c r="K50" s="303"/>
    </row>
    <row r="51" spans="1:26" ht="12.75" customHeight="1" x14ac:dyDescent="0.2">
      <c r="E51" s="154"/>
      <c r="G51" s="314"/>
      <c r="H51" s="154" t="s">
        <v>404</v>
      </c>
      <c r="K51" s="51">
        <v>0</v>
      </c>
      <c r="L51" s="297" t="s">
        <v>24</v>
      </c>
      <c r="Z51" s="512"/>
    </row>
    <row r="52" spans="1:26" ht="12.75" customHeight="1" x14ac:dyDescent="0.2">
      <c r="A52" s="209" t="s">
        <v>405</v>
      </c>
      <c r="B52" s="315"/>
      <c r="C52" s="297"/>
      <c r="E52" s="154"/>
      <c r="G52" s="314"/>
      <c r="H52" s="154" t="s">
        <v>406</v>
      </c>
      <c r="K52" s="51">
        <v>1924</v>
      </c>
      <c r="L52" s="297" t="s">
        <v>26</v>
      </c>
      <c r="Z52" s="512"/>
    </row>
    <row r="53" spans="1:26" ht="12.75" customHeight="1" x14ac:dyDescent="0.2">
      <c r="A53" s="151" t="s">
        <v>407</v>
      </c>
      <c r="C53" s="276"/>
      <c r="D53" s="316"/>
      <c r="E53" s="51">
        <v>0</v>
      </c>
      <c r="F53" s="317" t="s">
        <v>24</v>
      </c>
      <c r="G53" s="314"/>
      <c r="H53" s="154" t="s">
        <v>408</v>
      </c>
      <c r="K53" s="51">
        <v>8525</v>
      </c>
      <c r="L53" s="276" t="s">
        <v>28</v>
      </c>
      <c r="Z53" s="512"/>
    </row>
    <row r="54" spans="1:26" ht="12.75" customHeight="1" x14ac:dyDescent="0.2">
      <c r="A54" s="151" t="s">
        <v>409</v>
      </c>
      <c r="C54" s="276"/>
      <c r="D54" s="316"/>
      <c r="E54" s="51">
        <v>0</v>
      </c>
      <c r="F54" s="317" t="s">
        <v>26</v>
      </c>
      <c r="G54" s="314"/>
      <c r="H54" s="154" t="s">
        <v>410</v>
      </c>
      <c r="K54" s="51">
        <v>1249</v>
      </c>
      <c r="L54" s="276" t="s">
        <v>31</v>
      </c>
      <c r="Z54" s="512"/>
    </row>
    <row r="55" spans="1:26" ht="12.75" customHeight="1" x14ac:dyDescent="0.2">
      <c r="A55" s="151" t="s">
        <v>411</v>
      </c>
      <c r="C55" s="276"/>
      <c r="D55" s="316"/>
      <c r="E55" s="51">
        <v>0</v>
      </c>
      <c r="F55" s="317" t="s">
        <v>28</v>
      </c>
      <c r="G55" s="314"/>
      <c r="H55" s="574" t="s">
        <v>412</v>
      </c>
      <c r="I55" s="574"/>
      <c r="J55" s="574"/>
      <c r="K55" s="51">
        <v>1504</v>
      </c>
      <c r="L55" s="276" t="s">
        <v>33</v>
      </c>
      <c r="Z55" s="512"/>
    </row>
    <row r="56" spans="1:26" ht="12.75" customHeight="1" x14ac:dyDescent="0.2">
      <c r="A56" s="151" t="s">
        <v>413</v>
      </c>
      <c r="C56" s="276"/>
      <c r="D56" s="316"/>
      <c r="E56" s="51">
        <v>0</v>
      </c>
      <c r="F56" s="317" t="s">
        <v>31</v>
      </c>
      <c r="H56" s="574" t="s">
        <v>414</v>
      </c>
      <c r="I56" s="574"/>
      <c r="J56" s="574"/>
      <c r="K56" s="51">
        <v>160684</v>
      </c>
      <c r="L56" s="276" t="s">
        <v>35</v>
      </c>
      <c r="Z56" s="512"/>
    </row>
    <row r="57" spans="1:26" ht="12.75" customHeight="1" x14ac:dyDescent="0.2">
      <c r="C57" s="318"/>
      <c r="D57" s="316"/>
      <c r="F57" s="261"/>
      <c r="G57" s="314"/>
      <c r="K57" s="303"/>
      <c r="L57" s="276"/>
      <c r="Z57" s="512"/>
    </row>
    <row r="58" spans="1:26" ht="12.6" customHeight="1" x14ac:dyDescent="0.2">
      <c r="G58" s="314"/>
      <c r="H58" s="898" t="s">
        <v>1289</v>
      </c>
      <c r="I58" s="898"/>
      <c r="J58" s="898"/>
      <c r="K58" s="898"/>
      <c r="Z58" s="512"/>
    </row>
    <row r="59" spans="1:26" ht="41.45" customHeight="1" x14ac:dyDescent="0.2">
      <c r="G59" s="314"/>
      <c r="H59" s="899" t="s">
        <v>1284</v>
      </c>
      <c r="I59" s="899"/>
      <c r="J59" s="899"/>
      <c r="K59" s="660">
        <v>0</v>
      </c>
      <c r="L59" s="276" t="s">
        <v>24</v>
      </c>
      <c r="Z59" s="512"/>
    </row>
    <row r="60" spans="1:26" ht="41.45" customHeight="1" x14ac:dyDescent="0.2">
      <c r="G60" s="314"/>
      <c r="H60" s="899" t="s">
        <v>1285</v>
      </c>
      <c r="I60" s="899"/>
      <c r="J60" s="899"/>
      <c r="K60" s="660">
        <v>0</v>
      </c>
      <c r="L60" s="276" t="s">
        <v>26</v>
      </c>
      <c r="Z60" s="512"/>
    </row>
    <row r="61" spans="1:26" ht="27" customHeight="1" x14ac:dyDescent="0.2">
      <c r="G61" s="314"/>
      <c r="Z61" s="512"/>
    </row>
    <row r="62" spans="1:26" ht="12.75" customHeight="1" x14ac:dyDescent="0.2">
      <c r="H62" s="692" t="s">
        <v>1373</v>
      </c>
      <c r="Z62" s="512"/>
    </row>
    <row r="63" spans="1:26" ht="12.75" customHeight="1" x14ac:dyDescent="0.2">
      <c r="H63" s="897" t="s">
        <v>1290</v>
      </c>
      <c r="I63" s="897"/>
      <c r="J63" s="897"/>
      <c r="K63" s="661">
        <v>71731</v>
      </c>
      <c r="L63" s="677" t="s">
        <v>24</v>
      </c>
      <c r="Z63" s="512"/>
    </row>
    <row r="64" spans="1:26" ht="12.75" customHeight="1" x14ac:dyDescent="0.2">
      <c r="Z64" s="512"/>
    </row>
  </sheetData>
  <sheetProtection formatCells="0" formatColumns="0" formatRows="0"/>
  <mergeCells count="29">
    <mergeCell ref="F1:G1"/>
    <mergeCell ref="C4:L4"/>
    <mergeCell ref="D6:K6"/>
    <mergeCell ref="H32:J32"/>
    <mergeCell ref="H30:J30"/>
    <mergeCell ref="H31:J31"/>
    <mergeCell ref="A50:B50"/>
    <mergeCell ref="A33:B33"/>
    <mergeCell ref="A44:B44"/>
    <mergeCell ref="A40:B40"/>
    <mergeCell ref="A43:B43"/>
    <mergeCell ref="A34:B34"/>
    <mergeCell ref="A49:B49"/>
    <mergeCell ref="A35:B35"/>
    <mergeCell ref="A36:B36"/>
    <mergeCell ref="A41:B41"/>
    <mergeCell ref="A42:B42"/>
    <mergeCell ref="H36:J36"/>
    <mergeCell ref="H42:J42"/>
    <mergeCell ref="H41:J41"/>
    <mergeCell ref="H38:J38"/>
    <mergeCell ref="H39:J39"/>
    <mergeCell ref="H63:J63"/>
    <mergeCell ref="H58:K58"/>
    <mergeCell ref="H59:J59"/>
    <mergeCell ref="H60:J60"/>
    <mergeCell ref="H37:J37"/>
    <mergeCell ref="H46:J46"/>
    <mergeCell ref="H47:J47"/>
  </mergeCells>
  <conditionalFormatting sqref="E33:E36 E49 E53:E56">
    <cfRule type="expression" dxfId="40" priority="8" stopIfTrue="1">
      <formula>$E33=""</formula>
    </cfRule>
  </conditionalFormatting>
  <conditionalFormatting sqref="E40:E44">
    <cfRule type="expression" dxfId="39" priority="4" stopIfTrue="1">
      <formula>$E40=""</formula>
    </cfRule>
  </conditionalFormatting>
  <conditionalFormatting sqref="K11 K13:K19 K21:K22 K24:K26 K30:K32 K36:K38 K41:K42 K46:K47 K51:K56 K59:K60">
    <cfRule type="expression" dxfId="38" priority="7" stopIfTrue="1">
      <formula>$K11=""</formula>
    </cfRule>
  </conditionalFormatting>
  <conditionalFormatting sqref="K63">
    <cfRule type="expression" dxfId="37" priority="1" stopIfTrue="1">
      <formula>$K63=""</formula>
    </cfRule>
  </conditionalFormatting>
  <dataValidations count="2">
    <dataValidation allowBlank="1" showInputMessage="1" showErrorMessage="1" prompt="This amount has been adjusted to include federal food service revenue amounts included on the FS AFR." sqref="G24" xr:uid="{00000000-0002-0000-0A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A00-000001000000}"/>
  </dataValidations>
  <hyperlinks>
    <hyperlink ref="E31:E32" location="PropertyDisbursements" display="Property " xr:uid="{00000000-0004-0000-0A00-000000000000}"/>
    <hyperlink ref="A39:B39" location="PropertyDisbursementsByType" display="Property Disbursements by Type" xr:uid="{00000000-0004-0000-0A00-000001000000}"/>
    <hyperlink ref="A47" location="DebtService" display="Debt Service" xr:uid="{00000000-0004-0000-0A00-000002000000}"/>
    <hyperlink ref="H35" location="DebtService" display="Debt Service" xr:uid="{00000000-0004-0000-0A00-000003000000}"/>
    <hyperlink ref="H45" location="DebtService" display="Debt Service" xr:uid="{00000000-0004-0000-0A00-000004000000}"/>
    <hyperlink ref="H35:I35" location="LongandShortTermDebt" display="Long-term and Short-term Debt" xr:uid="{00000000-0004-0000-0A00-000005000000}"/>
    <hyperlink ref="H45:J45" location="UtilitiesandEnergyServices" display="Utilities and Energy Detail (Function 2600)" xr:uid="{00000000-0004-0000-0A00-000006000000}"/>
    <hyperlink ref="H50" location="TechnologyDetail" display="Technology" xr:uid="{00000000-0004-0000-0A00-000007000000}"/>
    <hyperlink ref="H29:J29" location="CashandInvestments" display="Cash and Investments held at June 30, 2017" xr:uid="{00000000-0004-0000-0A00-000008000000}"/>
    <hyperlink ref="K9:K10" location="PropertyDisbursements" display="Property" xr:uid="{00000000-0004-0000-0A00-000009000000}"/>
    <hyperlink ref="A52:B52" location="Revenue_From_Selected_Federal_Sources" display="Revenue from selected federal sources " xr:uid="{00000000-0004-0000-0A00-00000A000000}"/>
    <hyperlink ref="H58" location="SupportServicesInstructionDetail" display="Support services-instruction detail" xr:uid="{00000000-0004-0000-0A00-00000B000000}"/>
    <hyperlink ref="B5" location="GeneralPage10" display="Instructions" xr:uid="{E1591FB8-69FB-41E2-828E-BC739B4F460B}"/>
  </hyperlinks>
  <pageMargins left="0.7" right="0.7" top="0.75" bottom="0.75" header="0.3" footer="0.3"/>
  <pageSetup scale="61" orientation="landscape" r:id="rId1"/>
  <headerFooter>
    <oddFooter>&amp;LRev. 8/25 Arizona Department of Education and Auditor General&amp;CFY 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V49"/>
  <sheetViews>
    <sheetView showGridLines="0" workbookViewId="0">
      <selection activeCell="L19" sqref="L19"/>
    </sheetView>
  </sheetViews>
  <sheetFormatPr defaultColWidth="9" defaultRowHeight="12.75" x14ac:dyDescent="0.2"/>
  <cols>
    <col min="1" max="1" width="48.33203125" style="320" customWidth="1"/>
    <col min="2" max="2" width="2.83203125" style="320" customWidth="1"/>
    <col min="3" max="3" width="35.33203125" style="320" customWidth="1"/>
    <col min="4" max="4" width="13.83203125" style="320" bestFit="1" customWidth="1"/>
    <col min="5" max="5" width="15.33203125" style="320" customWidth="1"/>
    <col min="6" max="6" width="14.1640625" style="320" customWidth="1"/>
    <col min="7" max="7" width="15.1640625" style="320" customWidth="1"/>
    <col min="8" max="8" width="13.33203125" style="321" customWidth="1"/>
    <col min="9" max="9" width="17.33203125" style="321" customWidth="1"/>
    <col min="10" max="10" width="15.1640625" style="321" customWidth="1"/>
    <col min="11" max="11" width="20.33203125" style="321" customWidth="1"/>
    <col min="12" max="12" width="16" style="320" customWidth="1"/>
    <col min="13" max="13" width="16.83203125" style="320" customWidth="1"/>
    <col min="14" max="14" width="16" style="320" customWidth="1"/>
    <col min="15" max="15" width="14.83203125" style="320" customWidth="1"/>
    <col min="16" max="16" width="9.33203125" style="320" customWidth="1"/>
    <col min="17" max="17" width="14.83203125" style="320" customWidth="1"/>
    <col min="18" max="21" width="9" style="326" customWidth="1"/>
    <col min="22" max="26" width="9" style="327" customWidth="1"/>
    <col min="27" max="27" width="8.1640625" style="327" bestFit="1" customWidth="1"/>
    <col min="28" max="29" width="9" style="327" customWidth="1"/>
    <col min="30" max="34" width="10.33203125" style="328" customWidth="1"/>
    <col min="35" max="35" width="9" style="328" customWidth="1"/>
    <col min="36" max="48" width="9" style="326" customWidth="1"/>
    <col min="49" max="256" width="9" style="320" customWidth="1"/>
    <col min="257" max="257" width="60.33203125" style="320" customWidth="1"/>
    <col min="258" max="258" width="2.83203125" style="320" customWidth="1"/>
    <col min="259" max="259" width="14.83203125" style="320" customWidth="1"/>
    <col min="260" max="260" width="13.83203125" style="320" bestFit="1" customWidth="1"/>
    <col min="261" max="261" width="15.33203125" style="320" customWidth="1"/>
    <col min="262" max="262" width="14.1640625" style="320" customWidth="1"/>
    <col min="263" max="263" width="15.1640625" style="320" customWidth="1"/>
    <col min="264" max="264" width="13.33203125" style="320" customWidth="1"/>
    <col min="265" max="265" width="17.33203125" style="320" customWidth="1"/>
    <col min="266" max="266" width="15.1640625" style="320" customWidth="1"/>
    <col min="267" max="267" width="19.6640625" style="320" customWidth="1"/>
    <col min="268" max="270" width="16" style="320" customWidth="1"/>
    <col min="271" max="271" width="14.83203125" style="320" customWidth="1"/>
    <col min="272" max="272" width="17.33203125" style="320" customWidth="1"/>
    <col min="273" max="273" width="14.83203125" style="320" customWidth="1"/>
    <col min="274" max="282" width="9" style="320" customWidth="1"/>
    <col min="283" max="283" width="7.1640625" style="320" bestFit="1" customWidth="1"/>
    <col min="284" max="285" width="9" style="320" customWidth="1"/>
    <col min="286" max="290" width="10.33203125" style="320" customWidth="1"/>
    <col min="291" max="512" width="9" style="320" customWidth="1"/>
    <col min="513" max="513" width="60.33203125" style="320" customWidth="1"/>
    <col min="514" max="514" width="2.83203125" style="320" customWidth="1"/>
    <col min="515" max="515" width="14.83203125" style="320" customWidth="1"/>
    <col min="516" max="516" width="13.83203125" style="320" bestFit="1" customWidth="1"/>
    <col min="517" max="517" width="15.33203125" style="320" customWidth="1"/>
    <col min="518" max="518" width="14.1640625" style="320" customWidth="1"/>
    <col min="519" max="519" width="15.1640625" style="320" customWidth="1"/>
    <col min="520" max="520" width="13.33203125" style="320" customWidth="1"/>
    <col min="521" max="521" width="17.33203125" style="320" customWidth="1"/>
    <col min="522" max="522" width="15.1640625" style="320" customWidth="1"/>
    <col min="523" max="523" width="19.6640625" style="320" customWidth="1"/>
    <col min="524" max="526" width="16" style="320" customWidth="1"/>
    <col min="527" max="527" width="14.83203125" style="320" customWidth="1"/>
    <col min="528" max="528" width="17.33203125" style="320" customWidth="1"/>
    <col min="529" max="529" width="14.83203125" style="320" customWidth="1"/>
    <col min="530" max="538" width="9" style="320" customWidth="1"/>
    <col min="539" max="539" width="7.1640625" style="320" bestFit="1" customWidth="1"/>
    <col min="540" max="541" width="9" style="320" customWidth="1"/>
    <col min="542" max="546" width="10.33203125" style="320" customWidth="1"/>
    <col min="547" max="768" width="9" style="320" customWidth="1"/>
    <col min="769" max="769" width="60.33203125" style="320" customWidth="1"/>
    <col min="770" max="770" width="2.83203125" style="320" customWidth="1"/>
    <col min="771" max="771" width="14.83203125" style="320" customWidth="1"/>
    <col min="772" max="772" width="13.83203125" style="320" bestFit="1" customWidth="1"/>
    <col min="773" max="773" width="15.33203125" style="320" customWidth="1"/>
    <col min="774" max="774" width="14.1640625" style="320" customWidth="1"/>
    <col min="775" max="775" width="15.1640625" style="320" customWidth="1"/>
    <col min="776" max="776" width="13.33203125" style="320" customWidth="1"/>
    <col min="777" max="777" width="17.33203125" style="320" customWidth="1"/>
    <col min="778" max="778" width="15.1640625" style="320" customWidth="1"/>
    <col min="779" max="779" width="19.6640625" style="320" customWidth="1"/>
    <col min="780" max="782" width="16" style="320" customWidth="1"/>
    <col min="783" max="783" width="14.83203125" style="320" customWidth="1"/>
    <col min="784" max="784" width="17.33203125" style="320" customWidth="1"/>
    <col min="785" max="785" width="14.83203125" style="320" customWidth="1"/>
    <col min="786" max="794" width="9" style="320" customWidth="1"/>
    <col min="795" max="795" width="7.1640625" style="320" bestFit="1" customWidth="1"/>
    <col min="796" max="797" width="9" style="320" customWidth="1"/>
    <col min="798" max="802" width="10.33203125" style="320" customWidth="1"/>
    <col min="803" max="1024" width="9" style="320" customWidth="1"/>
    <col min="1025" max="1025" width="60.33203125" style="320" customWidth="1"/>
    <col min="1026" max="1026" width="2.83203125" style="320" customWidth="1"/>
    <col min="1027" max="1027" width="14.83203125" style="320" customWidth="1"/>
    <col min="1028" max="1028" width="13.83203125" style="320" bestFit="1" customWidth="1"/>
    <col min="1029" max="1029" width="15.33203125" style="320" customWidth="1"/>
    <col min="1030" max="1030" width="14.1640625" style="320" customWidth="1"/>
    <col min="1031" max="1031" width="15.1640625" style="320" customWidth="1"/>
    <col min="1032" max="1032" width="13.33203125" style="320" customWidth="1"/>
    <col min="1033" max="1033" width="17.33203125" style="320" customWidth="1"/>
    <col min="1034" max="1034" width="15.1640625" style="320" customWidth="1"/>
    <col min="1035" max="1035" width="19.6640625" style="320" customWidth="1"/>
    <col min="1036" max="1038" width="16" style="320" customWidth="1"/>
    <col min="1039" max="1039" width="14.83203125" style="320" customWidth="1"/>
    <col min="1040" max="1040" width="17.33203125" style="320" customWidth="1"/>
    <col min="1041" max="1041" width="14.83203125" style="320" customWidth="1"/>
    <col min="1042" max="1050" width="9" style="320" customWidth="1"/>
    <col min="1051" max="1051" width="7.1640625" style="320" bestFit="1" customWidth="1"/>
    <col min="1052" max="1053" width="9" style="320" customWidth="1"/>
    <col min="1054" max="1058" width="10.33203125" style="320" customWidth="1"/>
    <col min="1059" max="1280" width="9" style="320" customWidth="1"/>
    <col min="1281" max="1281" width="60.33203125" style="320" customWidth="1"/>
    <col min="1282" max="1282" width="2.83203125" style="320" customWidth="1"/>
    <col min="1283" max="1283" width="14.83203125" style="320" customWidth="1"/>
    <col min="1284" max="1284" width="13.83203125" style="320" bestFit="1" customWidth="1"/>
    <col min="1285" max="1285" width="15.33203125" style="320" customWidth="1"/>
    <col min="1286" max="1286" width="14.1640625" style="320" customWidth="1"/>
    <col min="1287" max="1287" width="15.1640625" style="320" customWidth="1"/>
    <col min="1288" max="1288" width="13.33203125" style="320" customWidth="1"/>
    <col min="1289" max="1289" width="17.33203125" style="320" customWidth="1"/>
    <col min="1290" max="1290" width="15.1640625" style="320" customWidth="1"/>
    <col min="1291" max="1291" width="19.6640625" style="320" customWidth="1"/>
    <col min="1292" max="1294" width="16" style="320" customWidth="1"/>
    <col min="1295" max="1295" width="14.83203125" style="320" customWidth="1"/>
    <col min="1296" max="1296" width="17.33203125" style="320" customWidth="1"/>
    <col min="1297" max="1297" width="14.83203125" style="320" customWidth="1"/>
    <col min="1298" max="1306" width="9" style="320" customWidth="1"/>
    <col min="1307" max="1307" width="7.1640625" style="320" bestFit="1" customWidth="1"/>
    <col min="1308" max="1309" width="9" style="320" customWidth="1"/>
    <col min="1310" max="1314" width="10.33203125" style="320" customWidth="1"/>
    <col min="1315" max="1536" width="9" style="320" customWidth="1"/>
    <col min="1537" max="1537" width="60.33203125" style="320" customWidth="1"/>
    <col min="1538" max="1538" width="2.83203125" style="320" customWidth="1"/>
    <col min="1539" max="1539" width="14.83203125" style="320" customWidth="1"/>
    <col min="1540" max="1540" width="13.83203125" style="320" bestFit="1" customWidth="1"/>
    <col min="1541" max="1541" width="15.33203125" style="320" customWidth="1"/>
    <col min="1542" max="1542" width="14.1640625" style="320" customWidth="1"/>
    <col min="1543" max="1543" width="15.1640625" style="320" customWidth="1"/>
    <col min="1544" max="1544" width="13.33203125" style="320" customWidth="1"/>
    <col min="1545" max="1545" width="17.33203125" style="320" customWidth="1"/>
    <col min="1546" max="1546" width="15.1640625" style="320" customWidth="1"/>
    <col min="1547" max="1547" width="19.6640625" style="320" customWidth="1"/>
    <col min="1548" max="1550" width="16" style="320" customWidth="1"/>
    <col min="1551" max="1551" width="14.83203125" style="320" customWidth="1"/>
    <col min="1552" max="1552" width="17.33203125" style="320" customWidth="1"/>
    <col min="1553" max="1553" width="14.83203125" style="320" customWidth="1"/>
    <col min="1554" max="1562" width="9" style="320" customWidth="1"/>
    <col min="1563" max="1563" width="7.1640625" style="320" bestFit="1" customWidth="1"/>
    <col min="1564" max="1565" width="9" style="320" customWidth="1"/>
    <col min="1566" max="1570" width="10.33203125" style="320" customWidth="1"/>
    <col min="1571" max="1792" width="9" style="320" customWidth="1"/>
    <col min="1793" max="1793" width="60.33203125" style="320" customWidth="1"/>
    <col min="1794" max="1794" width="2.83203125" style="320" customWidth="1"/>
    <col min="1795" max="1795" width="14.83203125" style="320" customWidth="1"/>
    <col min="1796" max="1796" width="13.83203125" style="320" bestFit="1" customWidth="1"/>
    <col min="1797" max="1797" width="15.33203125" style="320" customWidth="1"/>
    <col min="1798" max="1798" width="14.1640625" style="320" customWidth="1"/>
    <col min="1799" max="1799" width="15.1640625" style="320" customWidth="1"/>
    <col min="1800" max="1800" width="13.33203125" style="320" customWidth="1"/>
    <col min="1801" max="1801" width="17.33203125" style="320" customWidth="1"/>
    <col min="1802" max="1802" width="15.1640625" style="320" customWidth="1"/>
    <col min="1803" max="1803" width="19.6640625" style="320" customWidth="1"/>
    <col min="1804" max="1806" width="16" style="320" customWidth="1"/>
    <col min="1807" max="1807" width="14.83203125" style="320" customWidth="1"/>
    <col min="1808" max="1808" width="17.33203125" style="320" customWidth="1"/>
    <col min="1809" max="1809" width="14.83203125" style="320" customWidth="1"/>
    <col min="1810" max="1818" width="9" style="320" customWidth="1"/>
    <col min="1819" max="1819" width="7.1640625" style="320" bestFit="1" customWidth="1"/>
    <col min="1820" max="1821" width="9" style="320" customWidth="1"/>
    <col min="1822" max="1826" width="10.33203125" style="320" customWidth="1"/>
    <col min="1827" max="2048" width="9" style="320" customWidth="1"/>
    <col min="2049" max="2049" width="60.33203125" style="320" customWidth="1"/>
    <col min="2050" max="2050" width="2.83203125" style="320" customWidth="1"/>
    <col min="2051" max="2051" width="14.83203125" style="320" customWidth="1"/>
    <col min="2052" max="2052" width="13.83203125" style="320" bestFit="1" customWidth="1"/>
    <col min="2053" max="2053" width="15.33203125" style="320" customWidth="1"/>
    <col min="2054" max="2054" width="14.1640625" style="320" customWidth="1"/>
    <col min="2055" max="2055" width="15.1640625" style="320" customWidth="1"/>
    <col min="2056" max="2056" width="13.33203125" style="320" customWidth="1"/>
    <col min="2057" max="2057" width="17.33203125" style="320" customWidth="1"/>
    <col min="2058" max="2058" width="15.1640625" style="320" customWidth="1"/>
    <col min="2059" max="2059" width="19.6640625" style="320" customWidth="1"/>
    <col min="2060" max="2062" width="16" style="320" customWidth="1"/>
    <col min="2063" max="2063" width="14.83203125" style="320" customWidth="1"/>
    <col min="2064" max="2064" width="17.33203125" style="320" customWidth="1"/>
    <col min="2065" max="2065" width="14.83203125" style="320" customWidth="1"/>
    <col min="2066" max="2074" width="9" style="320" customWidth="1"/>
    <col min="2075" max="2075" width="7.1640625" style="320" bestFit="1" customWidth="1"/>
    <col min="2076" max="2077" width="9" style="320" customWidth="1"/>
    <col min="2078" max="2082" width="10.33203125" style="320" customWidth="1"/>
    <col min="2083" max="2304" width="9" style="320" customWidth="1"/>
    <col min="2305" max="2305" width="60.33203125" style="320" customWidth="1"/>
    <col min="2306" max="2306" width="2.83203125" style="320" customWidth="1"/>
    <col min="2307" max="2307" width="14.83203125" style="320" customWidth="1"/>
    <col min="2308" max="2308" width="13.83203125" style="320" bestFit="1" customWidth="1"/>
    <col min="2309" max="2309" width="15.33203125" style="320" customWidth="1"/>
    <col min="2310" max="2310" width="14.1640625" style="320" customWidth="1"/>
    <col min="2311" max="2311" width="15.1640625" style="320" customWidth="1"/>
    <col min="2312" max="2312" width="13.33203125" style="320" customWidth="1"/>
    <col min="2313" max="2313" width="17.33203125" style="320" customWidth="1"/>
    <col min="2314" max="2314" width="15.1640625" style="320" customWidth="1"/>
    <col min="2315" max="2315" width="19.6640625" style="320" customWidth="1"/>
    <col min="2316" max="2318" width="16" style="320" customWidth="1"/>
    <col min="2319" max="2319" width="14.83203125" style="320" customWidth="1"/>
    <col min="2320" max="2320" width="17.33203125" style="320" customWidth="1"/>
    <col min="2321" max="2321" width="14.83203125" style="320" customWidth="1"/>
    <col min="2322" max="2330" width="9" style="320" customWidth="1"/>
    <col min="2331" max="2331" width="7.1640625" style="320" bestFit="1" customWidth="1"/>
    <col min="2332" max="2333" width="9" style="320" customWidth="1"/>
    <col min="2334" max="2338" width="10.33203125" style="320" customWidth="1"/>
    <col min="2339" max="2560" width="9" style="320" customWidth="1"/>
    <col min="2561" max="2561" width="60.33203125" style="320" customWidth="1"/>
    <col min="2562" max="2562" width="2.83203125" style="320" customWidth="1"/>
    <col min="2563" max="2563" width="14.83203125" style="320" customWidth="1"/>
    <col min="2564" max="2564" width="13.83203125" style="320" bestFit="1" customWidth="1"/>
    <col min="2565" max="2565" width="15.33203125" style="320" customWidth="1"/>
    <col min="2566" max="2566" width="14.1640625" style="320" customWidth="1"/>
    <col min="2567" max="2567" width="15.1640625" style="320" customWidth="1"/>
    <col min="2568" max="2568" width="13.33203125" style="320" customWidth="1"/>
    <col min="2569" max="2569" width="17.33203125" style="320" customWidth="1"/>
    <col min="2570" max="2570" width="15.1640625" style="320" customWidth="1"/>
    <col min="2571" max="2571" width="19.6640625" style="320" customWidth="1"/>
    <col min="2572" max="2574" width="16" style="320" customWidth="1"/>
    <col min="2575" max="2575" width="14.83203125" style="320" customWidth="1"/>
    <col min="2576" max="2576" width="17.33203125" style="320" customWidth="1"/>
    <col min="2577" max="2577" width="14.83203125" style="320" customWidth="1"/>
    <col min="2578" max="2586" width="9" style="320" customWidth="1"/>
    <col min="2587" max="2587" width="7.1640625" style="320" bestFit="1" customWidth="1"/>
    <col min="2588" max="2589" width="9" style="320" customWidth="1"/>
    <col min="2590" max="2594" width="10.33203125" style="320" customWidth="1"/>
    <col min="2595" max="2816" width="9" style="320" customWidth="1"/>
    <col min="2817" max="2817" width="60.33203125" style="320" customWidth="1"/>
    <col min="2818" max="2818" width="2.83203125" style="320" customWidth="1"/>
    <col min="2819" max="2819" width="14.83203125" style="320" customWidth="1"/>
    <col min="2820" max="2820" width="13.83203125" style="320" bestFit="1" customWidth="1"/>
    <col min="2821" max="2821" width="15.33203125" style="320" customWidth="1"/>
    <col min="2822" max="2822" width="14.1640625" style="320" customWidth="1"/>
    <col min="2823" max="2823" width="15.1640625" style="320" customWidth="1"/>
    <col min="2824" max="2824" width="13.33203125" style="320" customWidth="1"/>
    <col min="2825" max="2825" width="17.33203125" style="320" customWidth="1"/>
    <col min="2826" max="2826" width="15.1640625" style="320" customWidth="1"/>
    <col min="2827" max="2827" width="19.6640625" style="320" customWidth="1"/>
    <col min="2828" max="2830" width="16" style="320" customWidth="1"/>
    <col min="2831" max="2831" width="14.83203125" style="320" customWidth="1"/>
    <col min="2832" max="2832" width="17.33203125" style="320" customWidth="1"/>
    <col min="2833" max="2833" width="14.83203125" style="320" customWidth="1"/>
    <col min="2834" max="2842" width="9" style="320" customWidth="1"/>
    <col min="2843" max="2843" width="7.1640625" style="320" bestFit="1" customWidth="1"/>
    <col min="2844" max="2845" width="9" style="320" customWidth="1"/>
    <col min="2846" max="2850" width="10.33203125" style="320" customWidth="1"/>
    <col min="2851" max="3072" width="9" style="320" customWidth="1"/>
    <col min="3073" max="3073" width="60.33203125" style="320" customWidth="1"/>
    <col min="3074" max="3074" width="2.83203125" style="320" customWidth="1"/>
    <col min="3075" max="3075" width="14.83203125" style="320" customWidth="1"/>
    <col min="3076" max="3076" width="13.83203125" style="320" bestFit="1" customWidth="1"/>
    <col min="3077" max="3077" width="15.33203125" style="320" customWidth="1"/>
    <col min="3078" max="3078" width="14.1640625" style="320" customWidth="1"/>
    <col min="3079" max="3079" width="15.1640625" style="320" customWidth="1"/>
    <col min="3080" max="3080" width="13.33203125" style="320" customWidth="1"/>
    <col min="3081" max="3081" width="17.33203125" style="320" customWidth="1"/>
    <col min="3082" max="3082" width="15.1640625" style="320" customWidth="1"/>
    <col min="3083" max="3083" width="19.6640625" style="320" customWidth="1"/>
    <col min="3084" max="3086" width="16" style="320" customWidth="1"/>
    <col min="3087" max="3087" width="14.83203125" style="320" customWidth="1"/>
    <col min="3088" max="3088" width="17.33203125" style="320" customWidth="1"/>
    <col min="3089" max="3089" width="14.83203125" style="320" customWidth="1"/>
    <col min="3090" max="3098" width="9" style="320" customWidth="1"/>
    <col min="3099" max="3099" width="7.1640625" style="320" bestFit="1" customWidth="1"/>
    <col min="3100" max="3101" width="9" style="320" customWidth="1"/>
    <col min="3102" max="3106" width="10.33203125" style="320" customWidth="1"/>
    <col min="3107" max="3328" width="9" style="320" customWidth="1"/>
    <col min="3329" max="3329" width="60.33203125" style="320" customWidth="1"/>
    <col min="3330" max="3330" width="2.83203125" style="320" customWidth="1"/>
    <col min="3331" max="3331" width="14.83203125" style="320" customWidth="1"/>
    <col min="3332" max="3332" width="13.83203125" style="320" bestFit="1" customWidth="1"/>
    <col min="3333" max="3333" width="15.33203125" style="320" customWidth="1"/>
    <col min="3334" max="3334" width="14.1640625" style="320" customWidth="1"/>
    <col min="3335" max="3335" width="15.1640625" style="320" customWidth="1"/>
    <col min="3336" max="3336" width="13.33203125" style="320" customWidth="1"/>
    <col min="3337" max="3337" width="17.33203125" style="320" customWidth="1"/>
    <col min="3338" max="3338" width="15.1640625" style="320" customWidth="1"/>
    <col min="3339" max="3339" width="19.6640625" style="320" customWidth="1"/>
    <col min="3340" max="3342" width="16" style="320" customWidth="1"/>
    <col min="3343" max="3343" width="14.83203125" style="320" customWidth="1"/>
    <col min="3344" max="3344" width="17.33203125" style="320" customWidth="1"/>
    <col min="3345" max="3345" width="14.83203125" style="320" customWidth="1"/>
    <col min="3346" max="3354" width="9" style="320" customWidth="1"/>
    <col min="3355" max="3355" width="7.1640625" style="320" bestFit="1" customWidth="1"/>
    <col min="3356" max="3357" width="9" style="320" customWidth="1"/>
    <col min="3358" max="3362" width="10.33203125" style="320" customWidth="1"/>
    <col min="3363" max="3584" width="9" style="320" customWidth="1"/>
    <col min="3585" max="3585" width="60.33203125" style="320" customWidth="1"/>
    <col min="3586" max="3586" width="2.83203125" style="320" customWidth="1"/>
    <col min="3587" max="3587" width="14.83203125" style="320" customWidth="1"/>
    <col min="3588" max="3588" width="13.83203125" style="320" bestFit="1" customWidth="1"/>
    <col min="3589" max="3589" width="15.33203125" style="320" customWidth="1"/>
    <col min="3590" max="3590" width="14.1640625" style="320" customWidth="1"/>
    <col min="3591" max="3591" width="15.1640625" style="320" customWidth="1"/>
    <col min="3592" max="3592" width="13.33203125" style="320" customWidth="1"/>
    <col min="3593" max="3593" width="17.33203125" style="320" customWidth="1"/>
    <col min="3594" max="3594" width="15.1640625" style="320" customWidth="1"/>
    <col min="3595" max="3595" width="19.6640625" style="320" customWidth="1"/>
    <col min="3596" max="3598" width="16" style="320" customWidth="1"/>
    <col min="3599" max="3599" width="14.83203125" style="320" customWidth="1"/>
    <col min="3600" max="3600" width="17.33203125" style="320" customWidth="1"/>
    <col min="3601" max="3601" width="14.83203125" style="320" customWidth="1"/>
    <col min="3602" max="3610" width="9" style="320" customWidth="1"/>
    <col min="3611" max="3611" width="7.1640625" style="320" bestFit="1" customWidth="1"/>
    <col min="3612" max="3613" width="9" style="320" customWidth="1"/>
    <col min="3614" max="3618" width="10.33203125" style="320" customWidth="1"/>
    <col min="3619" max="3840" width="9" style="320" customWidth="1"/>
    <col min="3841" max="3841" width="60.33203125" style="320" customWidth="1"/>
    <col min="3842" max="3842" width="2.83203125" style="320" customWidth="1"/>
    <col min="3843" max="3843" width="14.83203125" style="320" customWidth="1"/>
    <col min="3844" max="3844" width="13.83203125" style="320" bestFit="1" customWidth="1"/>
    <col min="3845" max="3845" width="15.33203125" style="320" customWidth="1"/>
    <col min="3846" max="3846" width="14.1640625" style="320" customWidth="1"/>
    <col min="3847" max="3847" width="15.1640625" style="320" customWidth="1"/>
    <col min="3848" max="3848" width="13.33203125" style="320" customWidth="1"/>
    <col min="3849" max="3849" width="17.33203125" style="320" customWidth="1"/>
    <col min="3850" max="3850" width="15.1640625" style="320" customWidth="1"/>
    <col min="3851" max="3851" width="19.6640625" style="320" customWidth="1"/>
    <col min="3852" max="3854" width="16" style="320" customWidth="1"/>
    <col min="3855" max="3855" width="14.83203125" style="320" customWidth="1"/>
    <col min="3856" max="3856" width="17.33203125" style="320" customWidth="1"/>
    <col min="3857" max="3857" width="14.83203125" style="320" customWidth="1"/>
    <col min="3858" max="3866" width="9" style="320" customWidth="1"/>
    <col min="3867" max="3867" width="7.1640625" style="320" bestFit="1" customWidth="1"/>
    <col min="3868" max="3869" width="9" style="320" customWidth="1"/>
    <col min="3870" max="3874" width="10.33203125" style="320" customWidth="1"/>
    <col min="3875" max="4096" width="9" style="320" customWidth="1"/>
    <col min="4097" max="4097" width="60.33203125" style="320" customWidth="1"/>
    <col min="4098" max="4098" width="2.83203125" style="320" customWidth="1"/>
    <col min="4099" max="4099" width="14.83203125" style="320" customWidth="1"/>
    <col min="4100" max="4100" width="13.83203125" style="320" bestFit="1" customWidth="1"/>
    <col min="4101" max="4101" width="15.33203125" style="320" customWidth="1"/>
    <col min="4102" max="4102" width="14.1640625" style="320" customWidth="1"/>
    <col min="4103" max="4103" width="15.1640625" style="320" customWidth="1"/>
    <col min="4104" max="4104" width="13.33203125" style="320" customWidth="1"/>
    <col min="4105" max="4105" width="17.33203125" style="320" customWidth="1"/>
    <col min="4106" max="4106" width="15.1640625" style="320" customWidth="1"/>
    <col min="4107" max="4107" width="19.6640625" style="320" customWidth="1"/>
    <col min="4108" max="4110" width="16" style="320" customWidth="1"/>
    <col min="4111" max="4111" width="14.83203125" style="320" customWidth="1"/>
    <col min="4112" max="4112" width="17.33203125" style="320" customWidth="1"/>
    <col min="4113" max="4113" width="14.83203125" style="320" customWidth="1"/>
    <col min="4114" max="4122" width="9" style="320" customWidth="1"/>
    <col min="4123" max="4123" width="7.1640625" style="320" bestFit="1" customWidth="1"/>
    <col min="4124" max="4125" width="9" style="320" customWidth="1"/>
    <col min="4126" max="4130" width="10.33203125" style="320" customWidth="1"/>
    <col min="4131" max="4352" width="9" style="320" customWidth="1"/>
    <col min="4353" max="4353" width="60.33203125" style="320" customWidth="1"/>
    <col min="4354" max="4354" width="2.83203125" style="320" customWidth="1"/>
    <col min="4355" max="4355" width="14.83203125" style="320" customWidth="1"/>
    <col min="4356" max="4356" width="13.83203125" style="320" bestFit="1" customWidth="1"/>
    <col min="4357" max="4357" width="15.33203125" style="320" customWidth="1"/>
    <col min="4358" max="4358" width="14.1640625" style="320" customWidth="1"/>
    <col min="4359" max="4359" width="15.1640625" style="320" customWidth="1"/>
    <col min="4360" max="4360" width="13.33203125" style="320" customWidth="1"/>
    <col min="4361" max="4361" width="17.33203125" style="320" customWidth="1"/>
    <col min="4362" max="4362" width="15.1640625" style="320" customWidth="1"/>
    <col min="4363" max="4363" width="19.6640625" style="320" customWidth="1"/>
    <col min="4364" max="4366" width="16" style="320" customWidth="1"/>
    <col min="4367" max="4367" width="14.83203125" style="320" customWidth="1"/>
    <col min="4368" max="4368" width="17.33203125" style="320" customWidth="1"/>
    <col min="4369" max="4369" width="14.83203125" style="320" customWidth="1"/>
    <col min="4370" max="4378" width="9" style="320" customWidth="1"/>
    <col min="4379" max="4379" width="7.1640625" style="320" bestFit="1" customWidth="1"/>
    <col min="4380" max="4381" width="9" style="320" customWidth="1"/>
    <col min="4382" max="4386" width="10.33203125" style="320" customWidth="1"/>
    <col min="4387" max="4608" width="9" style="320" customWidth="1"/>
    <col min="4609" max="4609" width="60.33203125" style="320" customWidth="1"/>
    <col min="4610" max="4610" width="2.83203125" style="320" customWidth="1"/>
    <col min="4611" max="4611" width="14.83203125" style="320" customWidth="1"/>
    <col min="4612" max="4612" width="13.83203125" style="320" bestFit="1" customWidth="1"/>
    <col min="4613" max="4613" width="15.33203125" style="320" customWidth="1"/>
    <col min="4614" max="4614" width="14.1640625" style="320" customWidth="1"/>
    <col min="4615" max="4615" width="15.1640625" style="320" customWidth="1"/>
    <col min="4616" max="4616" width="13.33203125" style="320" customWidth="1"/>
    <col min="4617" max="4617" width="17.33203125" style="320" customWidth="1"/>
    <col min="4618" max="4618" width="15.1640625" style="320" customWidth="1"/>
    <col min="4619" max="4619" width="19.6640625" style="320" customWidth="1"/>
    <col min="4620" max="4622" width="16" style="320" customWidth="1"/>
    <col min="4623" max="4623" width="14.83203125" style="320" customWidth="1"/>
    <col min="4624" max="4624" width="17.33203125" style="320" customWidth="1"/>
    <col min="4625" max="4625" width="14.83203125" style="320" customWidth="1"/>
    <col min="4626" max="4634" width="9" style="320" customWidth="1"/>
    <col min="4635" max="4635" width="7.1640625" style="320" bestFit="1" customWidth="1"/>
    <col min="4636" max="4637" width="9" style="320" customWidth="1"/>
    <col min="4638" max="4642" width="10.33203125" style="320" customWidth="1"/>
    <col min="4643" max="4864" width="9" style="320" customWidth="1"/>
    <col min="4865" max="4865" width="60.33203125" style="320" customWidth="1"/>
    <col min="4866" max="4866" width="2.83203125" style="320" customWidth="1"/>
    <col min="4867" max="4867" width="14.83203125" style="320" customWidth="1"/>
    <col min="4868" max="4868" width="13.83203125" style="320" bestFit="1" customWidth="1"/>
    <col min="4869" max="4869" width="15.33203125" style="320" customWidth="1"/>
    <col min="4870" max="4870" width="14.1640625" style="320" customWidth="1"/>
    <col min="4871" max="4871" width="15.1640625" style="320" customWidth="1"/>
    <col min="4872" max="4872" width="13.33203125" style="320" customWidth="1"/>
    <col min="4873" max="4873" width="17.33203125" style="320" customWidth="1"/>
    <col min="4874" max="4874" width="15.1640625" style="320" customWidth="1"/>
    <col min="4875" max="4875" width="19.6640625" style="320" customWidth="1"/>
    <col min="4876" max="4878" width="16" style="320" customWidth="1"/>
    <col min="4879" max="4879" width="14.83203125" style="320" customWidth="1"/>
    <col min="4880" max="4880" width="17.33203125" style="320" customWidth="1"/>
    <col min="4881" max="4881" width="14.83203125" style="320" customWidth="1"/>
    <col min="4882" max="4890" width="9" style="320" customWidth="1"/>
    <col min="4891" max="4891" width="7.1640625" style="320" bestFit="1" customWidth="1"/>
    <col min="4892" max="4893" width="9" style="320" customWidth="1"/>
    <col min="4894" max="4898" width="10.33203125" style="320" customWidth="1"/>
    <col min="4899" max="5120" width="9" style="320" customWidth="1"/>
    <col min="5121" max="5121" width="60.33203125" style="320" customWidth="1"/>
    <col min="5122" max="5122" width="2.83203125" style="320" customWidth="1"/>
    <col min="5123" max="5123" width="14.83203125" style="320" customWidth="1"/>
    <col min="5124" max="5124" width="13.83203125" style="320" bestFit="1" customWidth="1"/>
    <col min="5125" max="5125" width="15.33203125" style="320" customWidth="1"/>
    <col min="5126" max="5126" width="14.1640625" style="320" customWidth="1"/>
    <col min="5127" max="5127" width="15.1640625" style="320" customWidth="1"/>
    <col min="5128" max="5128" width="13.33203125" style="320" customWidth="1"/>
    <col min="5129" max="5129" width="17.33203125" style="320" customWidth="1"/>
    <col min="5130" max="5130" width="15.1640625" style="320" customWidth="1"/>
    <col min="5131" max="5131" width="19.6640625" style="320" customWidth="1"/>
    <col min="5132" max="5134" width="16" style="320" customWidth="1"/>
    <col min="5135" max="5135" width="14.83203125" style="320" customWidth="1"/>
    <col min="5136" max="5136" width="17.33203125" style="320" customWidth="1"/>
    <col min="5137" max="5137" width="14.83203125" style="320" customWidth="1"/>
    <col min="5138" max="5146" width="9" style="320" customWidth="1"/>
    <col min="5147" max="5147" width="7.1640625" style="320" bestFit="1" customWidth="1"/>
    <col min="5148" max="5149" width="9" style="320" customWidth="1"/>
    <col min="5150" max="5154" width="10.33203125" style="320" customWidth="1"/>
    <col min="5155" max="5376" width="9" style="320" customWidth="1"/>
    <col min="5377" max="5377" width="60.33203125" style="320" customWidth="1"/>
    <col min="5378" max="5378" width="2.83203125" style="320" customWidth="1"/>
    <col min="5379" max="5379" width="14.83203125" style="320" customWidth="1"/>
    <col min="5380" max="5380" width="13.83203125" style="320" bestFit="1" customWidth="1"/>
    <col min="5381" max="5381" width="15.33203125" style="320" customWidth="1"/>
    <col min="5382" max="5382" width="14.1640625" style="320" customWidth="1"/>
    <col min="5383" max="5383" width="15.1640625" style="320" customWidth="1"/>
    <col min="5384" max="5384" width="13.33203125" style="320" customWidth="1"/>
    <col min="5385" max="5385" width="17.33203125" style="320" customWidth="1"/>
    <col min="5386" max="5386" width="15.1640625" style="320" customWidth="1"/>
    <col min="5387" max="5387" width="19.6640625" style="320" customWidth="1"/>
    <col min="5388" max="5390" width="16" style="320" customWidth="1"/>
    <col min="5391" max="5391" width="14.83203125" style="320" customWidth="1"/>
    <col min="5392" max="5392" width="17.33203125" style="320" customWidth="1"/>
    <col min="5393" max="5393" width="14.83203125" style="320" customWidth="1"/>
    <col min="5394" max="5402" width="9" style="320" customWidth="1"/>
    <col min="5403" max="5403" width="7.1640625" style="320" bestFit="1" customWidth="1"/>
    <col min="5404" max="5405" width="9" style="320" customWidth="1"/>
    <col min="5406" max="5410" width="10.33203125" style="320" customWidth="1"/>
    <col min="5411" max="5632" width="9" style="320" customWidth="1"/>
    <col min="5633" max="5633" width="60.33203125" style="320" customWidth="1"/>
    <col min="5634" max="5634" width="2.83203125" style="320" customWidth="1"/>
    <col min="5635" max="5635" width="14.83203125" style="320" customWidth="1"/>
    <col min="5636" max="5636" width="13.83203125" style="320" bestFit="1" customWidth="1"/>
    <col min="5637" max="5637" width="15.33203125" style="320" customWidth="1"/>
    <col min="5638" max="5638" width="14.1640625" style="320" customWidth="1"/>
    <col min="5639" max="5639" width="15.1640625" style="320" customWidth="1"/>
    <col min="5640" max="5640" width="13.33203125" style="320" customWidth="1"/>
    <col min="5641" max="5641" width="17.33203125" style="320" customWidth="1"/>
    <col min="5642" max="5642" width="15.1640625" style="320" customWidth="1"/>
    <col min="5643" max="5643" width="19.6640625" style="320" customWidth="1"/>
    <col min="5644" max="5646" width="16" style="320" customWidth="1"/>
    <col min="5647" max="5647" width="14.83203125" style="320" customWidth="1"/>
    <col min="5648" max="5648" width="17.33203125" style="320" customWidth="1"/>
    <col min="5649" max="5649" width="14.83203125" style="320" customWidth="1"/>
    <col min="5650" max="5658" width="9" style="320" customWidth="1"/>
    <col min="5659" max="5659" width="7.1640625" style="320" bestFit="1" customWidth="1"/>
    <col min="5660" max="5661" width="9" style="320" customWidth="1"/>
    <col min="5662" max="5666" width="10.33203125" style="320" customWidth="1"/>
    <col min="5667" max="5888" width="9" style="320" customWidth="1"/>
    <col min="5889" max="5889" width="60.33203125" style="320" customWidth="1"/>
    <col min="5890" max="5890" width="2.83203125" style="320" customWidth="1"/>
    <col min="5891" max="5891" width="14.83203125" style="320" customWidth="1"/>
    <col min="5892" max="5892" width="13.83203125" style="320" bestFit="1" customWidth="1"/>
    <col min="5893" max="5893" width="15.33203125" style="320" customWidth="1"/>
    <col min="5894" max="5894" width="14.1640625" style="320" customWidth="1"/>
    <col min="5895" max="5895" width="15.1640625" style="320" customWidth="1"/>
    <col min="5896" max="5896" width="13.33203125" style="320" customWidth="1"/>
    <col min="5897" max="5897" width="17.33203125" style="320" customWidth="1"/>
    <col min="5898" max="5898" width="15.1640625" style="320" customWidth="1"/>
    <col min="5899" max="5899" width="19.6640625" style="320" customWidth="1"/>
    <col min="5900" max="5902" width="16" style="320" customWidth="1"/>
    <col min="5903" max="5903" width="14.83203125" style="320" customWidth="1"/>
    <col min="5904" max="5904" width="17.33203125" style="320" customWidth="1"/>
    <col min="5905" max="5905" width="14.83203125" style="320" customWidth="1"/>
    <col min="5906" max="5914" width="9" style="320" customWidth="1"/>
    <col min="5915" max="5915" width="7.1640625" style="320" bestFit="1" customWidth="1"/>
    <col min="5916" max="5917" width="9" style="320" customWidth="1"/>
    <col min="5918" max="5922" width="10.33203125" style="320" customWidth="1"/>
    <col min="5923" max="6144" width="9" style="320" customWidth="1"/>
    <col min="6145" max="6145" width="60.33203125" style="320" customWidth="1"/>
    <col min="6146" max="6146" width="2.83203125" style="320" customWidth="1"/>
    <col min="6147" max="6147" width="14.83203125" style="320" customWidth="1"/>
    <col min="6148" max="6148" width="13.83203125" style="320" bestFit="1" customWidth="1"/>
    <col min="6149" max="6149" width="15.33203125" style="320" customWidth="1"/>
    <col min="6150" max="6150" width="14.1640625" style="320" customWidth="1"/>
    <col min="6151" max="6151" width="15.1640625" style="320" customWidth="1"/>
    <col min="6152" max="6152" width="13.33203125" style="320" customWidth="1"/>
    <col min="6153" max="6153" width="17.33203125" style="320" customWidth="1"/>
    <col min="6154" max="6154" width="15.1640625" style="320" customWidth="1"/>
    <col min="6155" max="6155" width="19.6640625" style="320" customWidth="1"/>
    <col min="6156" max="6158" width="16" style="320" customWidth="1"/>
    <col min="6159" max="6159" width="14.83203125" style="320" customWidth="1"/>
    <col min="6160" max="6160" width="17.33203125" style="320" customWidth="1"/>
    <col min="6161" max="6161" width="14.83203125" style="320" customWidth="1"/>
    <col min="6162" max="6170" width="9" style="320" customWidth="1"/>
    <col min="6171" max="6171" width="7.1640625" style="320" bestFit="1" customWidth="1"/>
    <col min="6172" max="6173" width="9" style="320" customWidth="1"/>
    <col min="6174" max="6178" width="10.33203125" style="320" customWidth="1"/>
    <col min="6179" max="6400" width="9" style="320" customWidth="1"/>
    <col min="6401" max="6401" width="60.33203125" style="320" customWidth="1"/>
    <col min="6402" max="6402" width="2.83203125" style="320" customWidth="1"/>
    <col min="6403" max="6403" width="14.83203125" style="320" customWidth="1"/>
    <col min="6404" max="6404" width="13.83203125" style="320" bestFit="1" customWidth="1"/>
    <col min="6405" max="6405" width="15.33203125" style="320" customWidth="1"/>
    <col min="6406" max="6406" width="14.1640625" style="320" customWidth="1"/>
    <col min="6407" max="6407" width="15.1640625" style="320" customWidth="1"/>
    <col min="6408" max="6408" width="13.33203125" style="320" customWidth="1"/>
    <col min="6409" max="6409" width="17.33203125" style="320" customWidth="1"/>
    <col min="6410" max="6410" width="15.1640625" style="320" customWidth="1"/>
    <col min="6411" max="6411" width="19.6640625" style="320" customWidth="1"/>
    <col min="6412" max="6414" width="16" style="320" customWidth="1"/>
    <col min="6415" max="6415" width="14.83203125" style="320" customWidth="1"/>
    <col min="6416" max="6416" width="17.33203125" style="320" customWidth="1"/>
    <col min="6417" max="6417" width="14.83203125" style="320" customWidth="1"/>
    <col min="6418" max="6426" width="9" style="320" customWidth="1"/>
    <col min="6427" max="6427" width="7.1640625" style="320" bestFit="1" customWidth="1"/>
    <col min="6428" max="6429" width="9" style="320" customWidth="1"/>
    <col min="6430" max="6434" width="10.33203125" style="320" customWidth="1"/>
    <col min="6435" max="6656" width="9" style="320" customWidth="1"/>
    <col min="6657" max="6657" width="60.33203125" style="320" customWidth="1"/>
    <col min="6658" max="6658" width="2.83203125" style="320" customWidth="1"/>
    <col min="6659" max="6659" width="14.83203125" style="320" customWidth="1"/>
    <col min="6660" max="6660" width="13.83203125" style="320" bestFit="1" customWidth="1"/>
    <col min="6661" max="6661" width="15.33203125" style="320" customWidth="1"/>
    <col min="6662" max="6662" width="14.1640625" style="320" customWidth="1"/>
    <col min="6663" max="6663" width="15.1640625" style="320" customWidth="1"/>
    <col min="6664" max="6664" width="13.33203125" style="320" customWidth="1"/>
    <col min="6665" max="6665" width="17.33203125" style="320" customWidth="1"/>
    <col min="6666" max="6666" width="15.1640625" style="320" customWidth="1"/>
    <col min="6667" max="6667" width="19.6640625" style="320" customWidth="1"/>
    <col min="6668" max="6670" width="16" style="320" customWidth="1"/>
    <col min="6671" max="6671" width="14.83203125" style="320" customWidth="1"/>
    <col min="6672" max="6672" width="17.33203125" style="320" customWidth="1"/>
    <col min="6673" max="6673" width="14.83203125" style="320" customWidth="1"/>
    <col min="6674" max="6682" width="9" style="320" customWidth="1"/>
    <col min="6683" max="6683" width="7.1640625" style="320" bestFit="1" customWidth="1"/>
    <col min="6684" max="6685" width="9" style="320" customWidth="1"/>
    <col min="6686" max="6690" width="10.33203125" style="320" customWidth="1"/>
    <col min="6691" max="6912" width="9" style="320" customWidth="1"/>
    <col min="6913" max="6913" width="60.33203125" style="320" customWidth="1"/>
    <col min="6914" max="6914" width="2.83203125" style="320" customWidth="1"/>
    <col min="6915" max="6915" width="14.83203125" style="320" customWidth="1"/>
    <col min="6916" max="6916" width="13.83203125" style="320" bestFit="1" customWidth="1"/>
    <col min="6917" max="6917" width="15.33203125" style="320" customWidth="1"/>
    <col min="6918" max="6918" width="14.1640625" style="320" customWidth="1"/>
    <col min="6919" max="6919" width="15.1640625" style="320" customWidth="1"/>
    <col min="6920" max="6920" width="13.33203125" style="320" customWidth="1"/>
    <col min="6921" max="6921" width="17.33203125" style="320" customWidth="1"/>
    <col min="6922" max="6922" width="15.1640625" style="320" customWidth="1"/>
    <col min="6923" max="6923" width="19.6640625" style="320" customWidth="1"/>
    <col min="6924" max="6926" width="16" style="320" customWidth="1"/>
    <col min="6927" max="6927" width="14.83203125" style="320" customWidth="1"/>
    <col min="6928" max="6928" width="17.33203125" style="320" customWidth="1"/>
    <col min="6929" max="6929" width="14.83203125" style="320" customWidth="1"/>
    <col min="6930" max="6938" width="9" style="320" customWidth="1"/>
    <col min="6939" max="6939" width="7.1640625" style="320" bestFit="1" customWidth="1"/>
    <col min="6940" max="6941" width="9" style="320" customWidth="1"/>
    <col min="6942" max="6946" width="10.33203125" style="320" customWidth="1"/>
    <col min="6947" max="7168" width="9" style="320" customWidth="1"/>
    <col min="7169" max="7169" width="60.33203125" style="320" customWidth="1"/>
    <col min="7170" max="7170" width="2.83203125" style="320" customWidth="1"/>
    <col min="7171" max="7171" width="14.83203125" style="320" customWidth="1"/>
    <col min="7172" max="7172" width="13.83203125" style="320" bestFit="1" customWidth="1"/>
    <col min="7173" max="7173" width="15.33203125" style="320" customWidth="1"/>
    <col min="7174" max="7174" width="14.1640625" style="320" customWidth="1"/>
    <col min="7175" max="7175" width="15.1640625" style="320" customWidth="1"/>
    <col min="7176" max="7176" width="13.33203125" style="320" customWidth="1"/>
    <col min="7177" max="7177" width="17.33203125" style="320" customWidth="1"/>
    <col min="7178" max="7178" width="15.1640625" style="320" customWidth="1"/>
    <col min="7179" max="7179" width="19.6640625" style="320" customWidth="1"/>
    <col min="7180" max="7182" width="16" style="320" customWidth="1"/>
    <col min="7183" max="7183" width="14.83203125" style="320" customWidth="1"/>
    <col min="7184" max="7184" width="17.33203125" style="320" customWidth="1"/>
    <col min="7185" max="7185" width="14.83203125" style="320" customWidth="1"/>
    <col min="7186" max="7194" width="9" style="320" customWidth="1"/>
    <col min="7195" max="7195" width="7.1640625" style="320" bestFit="1" customWidth="1"/>
    <col min="7196" max="7197" width="9" style="320" customWidth="1"/>
    <col min="7198" max="7202" width="10.33203125" style="320" customWidth="1"/>
    <col min="7203" max="7424" width="9" style="320" customWidth="1"/>
    <col min="7425" max="7425" width="60.33203125" style="320" customWidth="1"/>
    <col min="7426" max="7426" width="2.83203125" style="320" customWidth="1"/>
    <col min="7427" max="7427" width="14.83203125" style="320" customWidth="1"/>
    <col min="7428" max="7428" width="13.83203125" style="320" bestFit="1" customWidth="1"/>
    <col min="7429" max="7429" width="15.33203125" style="320" customWidth="1"/>
    <col min="7430" max="7430" width="14.1640625" style="320" customWidth="1"/>
    <col min="7431" max="7431" width="15.1640625" style="320" customWidth="1"/>
    <col min="7432" max="7432" width="13.33203125" style="320" customWidth="1"/>
    <col min="7433" max="7433" width="17.33203125" style="320" customWidth="1"/>
    <col min="7434" max="7434" width="15.1640625" style="320" customWidth="1"/>
    <col min="7435" max="7435" width="19.6640625" style="320" customWidth="1"/>
    <col min="7436" max="7438" width="16" style="320" customWidth="1"/>
    <col min="7439" max="7439" width="14.83203125" style="320" customWidth="1"/>
    <col min="7440" max="7440" width="17.33203125" style="320" customWidth="1"/>
    <col min="7441" max="7441" width="14.83203125" style="320" customWidth="1"/>
    <col min="7442" max="7450" width="9" style="320" customWidth="1"/>
    <col min="7451" max="7451" width="7.1640625" style="320" bestFit="1" customWidth="1"/>
    <col min="7452" max="7453" width="9" style="320" customWidth="1"/>
    <col min="7454" max="7458" width="10.33203125" style="320" customWidth="1"/>
    <col min="7459" max="7680" width="9" style="320" customWidth="1"/>
    <col min="7681" max="7681" width="60.33203125" style="320" customWidth="1"/>
    <col min="7682" max="7682" width="2.83203125" style="320" customWidth="1"/>
    <col min="7683" max="7683" width="14.83203125" style="320" customWidth="1"/>
    <col min="7684" max="7684" width="13.83203125" style="320" bestFit="1" customWidth="1"/>
    <col min="7685" max="7685" width="15.33203125" style="320" customWidth="1"/>
    <col min="7686" max="7686" width="14.1640625" style="320" customWidth="1"/>
    <col min="7687" max="7687" width="15.1640625" style="320" customWidth="1"/>
    <col min="7688" max="7688" width="13.33203125" style="320" customWidth="1"/>
    <col min="7689" max="7689" width="17.33203125" style="320" customWidth="1"/>
    <col min="7690" max="7690" width="15.1640625" style="320" customWidth="1"/>
    <col min="7691" max="7691" width="19.6640625" style="320" customWidth="1"/>
    <col min="7692" max="7694" width="16" style="320" customWidth="1"/>
    <col min="7695" max="7695" width="14.83203125" style="320" customWidth="1"/>
    <col min="7696" max="7696" width="17.33203125" style="320" customWidth="1"/>
    <col min="7697" max="7697" width="14.83203125" style="320" customWidth="1"/>
    <col min="7698" max="7706" width="9" style="320" customWidth="1"/>
    <col min="7707" max="7707" width="7.1640625" style="320" bestFit="1" customWidth="1"/>
    <col min="7708" max="7709" width="9" style="320" customWidth="1"/>
    <col min="7710" max="7714" width="10.33203125" style="320" customWidth="1"/>
    <col min="7715" max="7936" width="9" style="320" customWidth="1"/>
    <col min="7937" max="7937" width="60.33203125" style="320" customWidth="1"/>
    <col min="7938" max="7938" width="2.83203125" style="320" customWidth="1"/>
    <col min="7939" max="7939" width="14.83203125" style="320" customWidth="1"/>
    <col min="7940" max="7940" width="13.83203125" style="320" bestFit="1" customWidth="1"/>
    <col min="7941" max="7941" width="15.33203125" style="320" customWidth="1"/>
    <col min="7942" max="7942" width="14.1640625" style="320" customWidth="1"/>
    <col min="7943" max="7943" width="15.1640625" style="320" customWidth="1"/>
    <col min="7944" max="7944" width="13.33203125" style="320" customWidth="1"/>
    <col min="7945" max="7945" width="17.33203125" style="320" customWidth="1"/>
    <col min="7946" max="7946" width="15.1640625" style="320" customWidth="1"/>
    <col min="7947" max="7947" width="19.6640625" style="320" customWidth="1"/>
    <col min="7948" max="7950" width="16" style="320" customWidth="1"/>
    <col min="7951" max="7951" width="14.83203125" style="320" customWidth="1"/>
    <col min="7952" max="7952" width="17.33203125" style="320" customWidth="1"/>
    <col min="7953" max="7953" width="14.83203125" style="320" customWidth="1"/>
    <col min="7954" max="7962" width="9" style="320" customWidth="1"/>
    <col min="7963" max="7963" width="7.1640625" style="320" bestFit="1" customWidth="1"/>
    <col min="7964" max="7965" width="9" style="320" customWidth="1"/>
    <col min="7966" max="7970" width="10.33203125" style="320" customWidth="1"/>
    <col min="7971" max="8192" width="9" style="320" customWidth="1"/>
    <col min="8193" max="8193" width="60.33203125" style="320" customWidth="1"/>
    <col min="8194" max="8194" width="2.83203125" style="320" customWidth="1"/>
    <col min="8195" max="8195" width="14.83203125" style="320" customWidth="1"/>
    <col min="8196" max="8196" width="13.83203125" style="320" bestFit="1" customWidth="1"/>
    <col min="8197" max="8197" width="15.33203125" style="320" customWidth="1"/>
    <col min="8198" max="8198" width="14.1640625" style="320" customWidth="1"/>
    <col min="8199" max="8199" width="15.1640625" style="320" customWidth="1"/>
    <col min="8200" max="8200" width="13.33203125" style="320" customWidth="1"/>
    <col min="8201" max="8201" width="17.33203125" style="320" customWidth="1"/>
    <col min="8202" max="8202" width="15.1640625" style="320" customWidth="1"/>
    <col min="8203" max="8203" width="19.6640625" style="320" customWidth="1"/>
    <col min="8204" max="8206" width="16" style="320" customWidth="1"/>
    <col min="8207" max="8207" width="14.83203125" style="320" customWidth="1"/>
    <col min="8208" max="8208" width="17.33203125" style="320" customWidth="1"/>
    <col min="8209" max="8209" width="14.83203125" style="320" customWidth="1"/>
    <col min="8210" max="8218" width="9" style="320" customWidth="1"/>
    <col min="8219" max="8219" width="7.1640625" style="320" bestFit="1" customWidth="1"/>
    <col min="8220" max="8221" width="9" style="320" customWidth="1"/>
    <col min="8222" max="8226" width="10.33203125" style="320" customWidth="1"/>
    <col min="8227" max="8448" width="9" style="320" customWidth="1"/>
    <col min="8449" max="8449" width="60.33203125" style="320" customWidth="1"/>
    <col min="8450" max="8450" width="2.83203125" style="320" customWidth="1"/>
    <col min="8451" max="8451" width="14.83203125" style="320" customWidth="1"/>
    <col min="8452" max="8452" width="13.83203125" style="320" bestFit="1" customWidth="1"/>
    <col min="8453" max="8453" width="15.33203125" style="320" customWidth="1"/>
    <col min="8454" max="8454" width="14.1640625" style="320" customWidth="1"/>
    <col min="8455" max="8455" width="15.1640625" style="320" customWidth="1"/>
    <col min="8456" max="8456" width="13.33203125" style="320" customWidth="1"/>
    <col min="8457" max="8457" width="17.33203125" style="320" customWidth="1"/>
    <col min="8458" max="8458" width="15.1640625" style="320" customWidth="1"/>
    <col min="8459" max="8459" width="19.6640625" style="320" customWidth="1"/>
    <col min="8460" max="8462" width="16" style="320" customWidth="1"/>
    <col min="8463" max="8463" width="14.83203125" style="320" customWidth="1"/>
    <col min="8464" max="8464" width="17.33203125" style="320" customWidth="1"/>
    <col min="8465" max="8465" width="14.83203125" style="320" customWidth="1"/>
    <col min="8466" max="8474" width="9" style="320" customWidth="1"/>
    <col min="8475" max="8475" width="7.1640625" style="320" bestFit="1" customWidth="1"/>
    <col min="8476" max="8477" width="9" style="320" customWidth="1"/>
    <col min="8478" max="8482" width="10.33203125" style="320" customWidth="1"/>
    <col min="8483" max="8704" width="9" style="320" customWidth="1"/>
    <col min="8705" max="8705" width="60.33203125" style="320" customWidth="1"/>
    <col min="8706" max="8706" width="2.83203125" style="320" customWidth="1"/>
    <col min="8707" max="8707" width="14.83203125" style="320" customWidth="1"/>
    <col min="8708" max="8708" width="13.83203125" style="320" bestFit="1" customWidth="1"/>
    <col min="8709" max="8709" width="15.33203125" style="320" customWidth="1"/>
    <col min="8710" max="8710" width="14.1640625" style="320" customWidth="1"/>
    <col min="8711" max="8711" width="15.1640625" style="320" customWidth="1"/>
    <col min="8712" max="8712" width="13.33203125" style="320" customWidth="1"/>
    <col min="8713" max="8713" width="17.33203125" style="320" customWidth="1"/>
    <col min="8714" max="8714" width="15.1640625" style="320" customWidth="1"/>
    <col min="8715" max="8715" width="19.6640625" style="320" customWidth="1"/>
    <col min="8716" max="8718" width="16" style="320" customWidth="1"/>
    <col min="8719" max="8719" width="14.83203125" style="320" customWidth="1"/>
    <col min="8720" max="8720" width="17.33203125" style="320" customWidth="1"/>
    <col min="8721" max="8721" width="14.83203125" style="320" customWidth="1"/>
    <col min="8722" max="8730" width="9" style="320" customWidth="1"/>
    <col min="8731" max="8731" width="7.1640625" style="320" bestFit="1" customWidth="1"/>
    <col min="8732" max="8733" width="9" style="320" customWidth="1"/>
    <col min="8734" max="8738" width="10.33203125" style="320" customWidth="1"/>
    <col min="8739" max="8960" width="9" style="320" customWidth="1"/>
    <col min="8961" max="8961" width="60.33203125" style="320" customWidth="1"/>
    <col min="8962" max="8962" width="2.83203125" style="320" customWidth="1"/>
    <col min="8963" max="8963" width="14.83203125" style="320" customWidth="1"/>
    <col min="8964" max="8964" width="13.83203125" style="320" bestFit="1" customWidth="1"/>
    <col min="8965" max="8965" width="15.33203125" style="320" customWidth="1"/>
    <col min="8966" max="8966" width="14.1640625" style="320" customWidth="1"/>
    <col min="8967" max="8967" width="15.1640625" style="320" customWidth="1"/>
    <col min="8968" max="8968" width="13.33203125" style="320" customWidth="1"/>
    <col min="8969" max="8969" width="17.33203125" style="320" customWidth="1"/>
    <col min="8970" max="8970" width="15.1640625" style="320" customWidth="1"/>
    <col min="8971" max="8971" width="19.6640625" style="320" customWidth="1"/>
    <col min="8972" max="8974" width="16" style="320" customWidth="1"/>
    <col min="8975" max="8975" width="14.83203125" style="320" customWidth="1"/>
    <col min="8976" max="8976" width="17.33203125" style="320" customWidth="1"/>
    <col min="8977" max="8977" width="14.83203125" style="320" customWidth="1"/>
    <col min="8978" max="8986" width="9" style="320" customWidth="1"/>
    <col min="8987" max="8987" width="7.1640625" style="320" bestFit="1" customWidth="1"/>
    <col min="8988" max="8989" width="9" style="320" customWidth="1"/>
    <col min="8990" max="8994" width="10.33203125" style="320" customWidth="1"/>
    <col min="8995" max="9216" width="9" style="320" customWidth="1"/>
    <col min="9217" max="9217" width="60.33203125" style="320" customWidth="1"/>
    <col min="9218" max="9218" width="2.83203125" style="320" customWidth="1"/>
    <col min="9219" max="9219" width="14.83203125" style="320" customWidth="1"/>
    <col min="9220" max="9220" width="13.83203125" style="320" bestFit="1" customWidth="1"/>
    <col min="9221" max="9221" width="15.33203125" style="320" customWidth="1"/>
    <col min="9222" max="9222" width="14.1640625" style="320" customWidth="1"/>
    <col min="9223" max="9223" width="15.1640625" style="320" customWidth="1"/>
    <col min="9224" max="9224" width="13.33203125" style="320" customWidth="1"/>
    <col min="9225" max="9225" width="17.33203125" style="320" customWidth="1"/>
    <col min="9226" max="9226" width="15.1640625" style="320" customWidth="1"/>
    <col min="9227" max="9227" width="19.6640625" style="320" customWidth="1"/>
    <col min="9228" max="9230" width="16" style="320" customWidth="1"/>
    <col min="9231" max="9231" width="14.83203125" style="320" customWidth="1"/>
    <col min="9232" max="9232" width="17.33203125" style="320" customWidth="1"/>
    <col min="9233" max="9233" width="14.83203125" style="320" customWidth="1"/>
    <col min="9234" max="9242" width="9" style="320" customWidth="1"/>
    <col min="9243" max="9243" width="7.1640625" style="320" bestFit="1" customWidth="1"/>
    <col min="9244" max="9245" width="9" style="320" customWidth="1"/>
    <col min="9246" max="9250" width="10.33203125" style="320" customWidth="1"/>
    <col min="9251" max="9472" width="9" style="320" customWidth="1"/>
    <col min="9473" max="9473" width="60.33203125" style="320" customWidth="1"/>
    <col min="9474" max="9474" width="2.83203125" style="320" customWidth="1"/>
    <col min="9475" max="9475" width="14.83203125" style="320" customWidth="1"/>
    <col min="9476" max="9476" width="13.83203125" style="320" bestFit="1" customWidth="1"/>
    <col min="9477" max="9477" width="15.33203125" style="320" customWidth="1"/>
    <col min="9478" max="9478" width="14.1640625" style="320" customWidth="1"/>
    <col min="9479" max="9479" width="15.1640625" style="320" customWidth="1"/>
    <col min="9480" max="9480" width="13.33203125" style="320" customWidth="1"/>
    <col min="9481" max="9481" width="17.33203125" style="320" customWidth="1"/>
    <col min="9482" max="9482" width="15.1640625" style="320" customWidth="1"/>
    <col min="9483" max="9483" width="19.6640625" style="320" customWidth="1"/>
    <col min="9484" max="9486" width="16" style="320" customWidth="1"/>
    <col min="9487" max="9487" width="14.83203125" style="320" customWidth="1"/>
    <col min="9488" max="9488" width="17.33203125" style="320" customWidth="1"/>
    <col min="9489" max="9489" width="14.83203125" style="320" customWidth="1"/>
    <col min="9490" max="9498" width="9" style="320" customWidth="1"/>
    <col min="9499" max="9499" width="7.1640625" style="320" bestFit="1" customWidth="1"/>
    <col min="9500" max="9501" width="9" style="320" customWidth="1"/>
    <col min="9502" max="9506" width="10.33203125" style="320" customWidth="1"/>
    <col min="9507" max="9728" width="9" style="320" customWidth="1"/>
    <col min="9729" max="9729" width="60.33203125" style="320" customWidth="1"/>
    <col min="9730" max="9730" width="2.83203125" style="320" customWidth="1"/>
    <col min="9731" max="9731" width="14.83203125" style="320" customWidth="1"/>
    <col min="9732" max="9732" width="13.83203125" style="320" bestFit="1" customWidth="1"/>
    <col min="9733" max="9733" width="15.33203125" style="320" customWidth="1"/>
    <col min="9734" max="9734" width="14.1640625" style="320" customWidth="1"/>
    <col min="9735" max="9735" width="15.1640625" style="320" customWidth="1"/>
    <col min="9736" max="9736" width="13.33203125" style="320" customWidth="1"/>
    <col min="9737" max="9737" width="17.33203125" style="320" customWidth="1"/>
    <col min="9738" max="9738" width="15.1640625" style="320" customWidth="1"/>
    <col min="9739" max="9739" width="19.6640625" style="320" customWidth="1"/>
    <col min="9740" max="9742" width="16" style="320" customWidth="1"/>
    <col min="9743" max="9743" width="14.83203125" style="320" customWidth="1"/>
    <col min="9744" max="9744" width="17.33203125" style="320" customWidth="1"/>
    <col min="9745" max="9745" width="14.83203125" style="320" customWidth="1"/>
    <col min="9746" max="9754" width="9" style="320" customWidth="1"/>
    <col min="9755" max="9755" width="7.1640625" style="320" bestFit="1" customWidth="1"/>
    <col min="9756" max="9757" width="9" style="320" customWidth="1"/>
    <col min="9758" max="9762" width="10.33203125" style="320" customWidth="1"/>
    <col min="9763" max="9984" width="9" style="320" customWidth="1"/>
    <col min="9985" max="9985" width="60.33203125" style="320" customWidth="1"/>
    <col min="9986" max="9986" width="2.83203125" style="320" customWidth="1"/>
    <col min="9987" max="9987" width="14.83203125" style="320" customWidth="1"/>
    <col min="9988" max="9988" width="13.83203125" style="320" bestFit="1" customWidth="1"/>
    <col min="9989" max="9989" width="15.33203125" style="320" customWidth="1"/>
    <col min="9990" max="9990" width="14.1640625" style="320" customWidth="1"/>
    <col min="9991" max="9991" width="15.1640625" style="320" customWidth="1"/>
    <col min="9992" max="9992" width="13.33203125" style="320" customWidth="1"/>
    <col min="9993" max="9993" width="17.33203125" style="320" customWidth="1"/>
    <col min="9994" max="9994" width="15.1640625" style="320" customWidth="1"/>
    <col min="9995" max="9995" width="19.6640625" style="320" customWidth="1"/>
    <col min="9996" max="9998" width="16" style="320" customWidth="1"/>
    <col min="9999" max="9999" width="14.83203125" style="320" customWidth="1"/>
    <col min="10000" max="10000" width="17.33203125" style="320" customWidth="1"/>
    <col min="10001" max="10001" width="14.83203125" style="320" customWidth="1"/>
    <col min="10002" max="10010" width="9" style="320" customWidth="1"/>
    <col min="10011" max="10011" width="7.1640625" style="320" bestFit="1" customWidth="1"/>
    <col min="10012" max="10013" width="9" style="320" customWidth="1"/>
    <col min="10014" max="10018" width="10.33203125" style="320" customWidth="1"/>
    <col min="10019" max="10240" width="9" style="320" customWidth="1"/>
    <col min="10241" max="10241" width="60.33203125" style="320" customWidth="1"/>
    <col min="10242" max="10242" width="2.83203125" style="320" customWidth="1"/>
    <col min="10243" max="10243" width="14.83203125" style="320" customWidth="1"/>
    <col min="10244" max="10244" width="13.83203125" style="320" bestFit="1" customWidth="1"/>
    <col min="10245" max="10245" width="15.33203125" style="320" customWidth="1"/>
    <col min="10246" max="10246" width="14.1640625" style="320" customWidth="1"/>
    <col min="10247" max="10247" width="15.1640625" style="320" customWidth="1"/>
    <col min="10248" max="10248" width="13.33203125" style="320" customWidth="1"/>
    <col min="10249" max="10249" width="17.33203125" style="320" customWidth="1"/>
    <col min="10250" max="10250" width="15.1640625" style="320" customWidth="1"/>
    <col min="10251" max="10251" width="19.6640625" style="320" customWidth="1"/>
    <col min="10252" max="10254" width="16" style="320" customWidth="1"/>
    <col min="10255" max="10255" width="14.83203125" style="320" customWidth="1"/>
    <col min="10256" max="10256" width="17.33203125" style="320" customWidth="1"/>
    <col min="10257" max="10257" width="14.83203125" style="320" customWidth="1"/>
    <col min="10258" max="10266" width="9" style="320" customWidth="1"/>
    <col min="10267" max="10267" width="7.1640625" style="320" bestFit="1" customWidth="1"/>
    <col min="10268" max="10269" width="9" style="320" customWidth="1"/>
    <col min="10270" max="10274" width="10.33203125" style="320" customWidth="1"/>
    <col min="10275" max="10496" width="9" style="320" customWidth="1"/>
    <col min="10497" max="10497" width="60.33203125" style="320" customWidth="1"/>
    <col min="10498" max="10498" width="2.83203125" style="320" customWidth="1"/>
    <col min="10499" max="10499" width="14.83203125" style="320" customWidth="1"/>
    <col min="10500" max="10500" width="13.83203125" style="320" bestFit="1" customWidth="1"/>
    <col min="10501" max="10501" width="15.33203125" style="320" customWidth="1"/>
    <col min="10502" max="10502" width="14.1640625" style="320" customWidth="1"/>
    <col min="10503" max="10503" width="15.1640625" style="320" customWidth="1"/>
    <col min="10504" max="10504" width="13.33203125" style="320" customWidth="1"/>
    <col min="10505" max="10505" width="17.33203125" style="320" customWidth="1"/>
    <col min="10506" max="10506" width="15.1640625" style="320" customWidth="1"/>
    <col min="10507" max="10507" width="19.6640625" style="320" customWidth="1"/>
    <col min="10508" max="10510" width="16" style="320" customWidth="1"/>
    <col min="10511" max="10511" width="14.83203125" style="320" customWidth="1"/>
    <col min="10512" max="10512" width="17.33203125" style="320" customWidth="1"/>
    <col min="10513" max="10513" width="14.83203125" style="320" customWidth="1"/>
    <col min="10514" max="10522" width="9" style="320" customWidth="1"/>
    <col min="10523" max="10523" width="7.1640625" style="320" bestFit="1" customWidth="1"/>
    <col min="10524" max="10525" width="9" style="320" customWidth="1"/>
    <col min="10526" max="10530" width="10.33203125" style="320" customWidth="1"/>
    <col min="10531" max="10752" width="9" style="320" customWidth="1"/>
    <col min="10753" max="10753" width="60.33203125" style="320" customWidth="1"/>
    <col min="10754" max="10754" width="2.83203125" style="320" customWidth="1"/>
    <col min="10755" max="10755" width="14.83203125" style="320" customWidth="1"/>
    <col min="10756" max="10756" width="13.83203125" style="320" bestFit="1" customWidth="1"/>
    <col min="10757" max="10757" width="15.33203125" style="320" customWidth="1"/>
    <col min="10758" max="10758" width="14.1640625" style="320" customWidth="1"/>
    <col min="10759" max="10759" width="15.1640625" style="320" customWidth="1"/>
    <col min="10760" max="10760" width="13.33203125" style="320" customWidth="1"/>
    <col min="10761" max="10761" width="17.33203125" style="320" customWidth="1"/>
    <col min="10762" max="10762" width="15.1640625" style="320" customWidth="1"/>
    <col min="10763" max="10763" width="19.6640625" style="320" customWidth="1"/>
    <col min="10764" max="10766" width="16" style="320" customWidth="1"/>
    <col min="10767" max="10767" width="14.83203125" style="320" customWidth="1"/>
    <col min="10768" max="10768" width="17.33203125" style="320" customWidth="1"/>
    <col min="10769" max="10769" width="14.83203125" style="320" customWidth="1"/>
    <col min="10770" max="10778" width="9" style="320" customWidth="1"/>
    <col min="10779" max="10779" width="7.1640625" style="320" bestFit="1" customWidth="1"/>
    <col min="10780" max="10781" width="9" style="320" customWidth="1"/>
    <col min="10782" max="10786" width="10.33203125" style="320" customWidth="1"/>
    <col min="10787" max="11008" width="9" style="320" customWidth="1"/>
    <col min="11009" max="11009" width="60.33203125" style="320" customWidth="1"/>
    <col min="11010" max="11010" width="2.83203125" style="320" customWidth="1"/>
    <col min="11011" max="11011" width="14.83203125" style="320" customWidth="1"/>
    <col min="11012" max="11012" width="13.83203125" style="320" bestFit="1" customWidth="1"/>
    <col min="11013" max="11013" width="15.33203125" style="320" customWidth="1"/>
    <col min="11014" max="11014" width="14.1640625" style="320" customWidth="1"/>
    <col min="11015" max="11015" width="15.1640625" style="320" customWidth="1"/>
    <col min="11016" max="11016" width="13.33203125" style="320" customWidth="1"/>
    <col min="11017" max="11017" width="17.33203125" style="320" customWidth="1"/>
    <col min="11018" max="11018" width="15.1640625" style="320" customWidth="1"/>
    <col min="11019" max="11019" width="19.6640625" style="320" customWidth="1"/>
    <col min="11020" max="11022" width="16" style="320" customWidth="1"/>
    <col min="11023" max="11023" width="14.83203125" style="320" customWidth="1"/>
    <col min="11024" max="11024" width="17.33203125" style="320" customWidth="1"/>
    <col min="11025" max="11025" width="14.83203125" style="320" customWidth="1"/>
    <col min="11026" max="11034" width="9" style="320" customWidth="1"/>
    <col min="11035" max="11035" width="7.1640625" style="320" bestFit="1" customWidth="1"/>
    <col min="11036" max="11037" width="9" style="320" customWidth="1"/>
    <col min="11038" max="11042" width="10.33203125" style="320" customWidth="1"/>
    <col min="11043" max="11264" width="9" style="320" customWidth="1"/>
    <col min="11265" max="11265" width="60.33203125" style="320" customWidth="1"/>
    <col min="11266" max="11266" width="2.83203125" style="320" customWidth="1"/>
    <col min="11267" max="11267" width="14.83203125" style="320" customWidth="1"/>
    <col min="11268" max="11268" width="13.83203125" style="320" bestFit="1" customWidth="1"/>
    <col min="11269" max="11269" width="15.33203125" style="320" customWidth="1"/>
    <col min="11270" max="11270" width="14.1640625" style="320" customWidth="1"/>
    <col min="11271" max="11271" width="15.1640625" style="320" customWidth="1"/>
    <col min="11272" max="11272" width="13.33203125" style="320" customWidth="1"/>
    <col min="11273" max="11273" width="17.33203125" style="320" customWidth="1"/>
    <col min="11274" max="11274" width="15.1640625" style="320" customWidth="1"/>
    <col min="11275" max="11275" width="19.6640625" style="320" customWidth="1"/>
    <col min="11276" max="11278" width="16" style="320" customWidth="1"/>
    <col min="11279" max="11279" width="14.83203125" style="320" customWidth="1"/>
    <col min="11280" max="11280" width="17.33203125" style="320" customWidth="1"/>
    <col min="11281" max="11281" width="14.83203125" style="320" customWidth="1"/>
    <col min="11282" max="11290" width="9" style="320" customWidth="1"/>
    <col min="11291" max="11291" width="7.1640625" style="320" bestFit="1" customWidth="1"/>
    <col min="11292" max="11293" width="9" style="320" customWidth="1"/>
    <col min="11294" max="11298" width="10.33203125" style="320" customWidth="1"/>
    <col min="11299" max="11520" width="9" style="320" customWidth="1"/>
    <col min="11521" max="11521" width="60.33203125" style="320" customWidth="1"/>
    <col min="11522" max="11522" width="2.83203125" style="320" customWidth="1"/>
    <col min="11523" max="11523" width="14.83203125" style="320" customWidth="1"/>
    <col min="11524" max="11524" width="13.83203125" style="320" bestFit="1" customWidth="1"/>
    <col min="11525" max="11525" width="15.33203125" style="320" customWidth="1"/>
    <col min="11526" max="11526" width="14.1640625" style="320" customWidth="1"/>
    <col min="11527" max="11527" width="15.1640625" style="320" customWidth="1"/>
    <col min="11528" max="11528" width="13.33203125" style="320" customWidth="1"/>
    <col min="11529" max="11529" width="17.33203125" style="320" customWidth="1"/>
    <col min="11530" max="11530" width="15.1640625" style="320" customWidth="1"/>
    <col min="11531" max="11531" width="19.6640625" style="320" customWidth="1"/>
    <col min="11532" max="11534" width="16" style="320" customWidth="1"/>
    <col min="11535" max="11535" width="14.83203125" style="320" customWidth="1"/>
    <col min="11536" max="11536" width="17.33203125" style="320" customWidth="1"/>
    <col min="11537" max="11537" width="14.83203125" style="320" customWidth="1"/>
    <col min="11538" max="11546" width="9" style="320" customWidth="1"/>
    <col min="11547" max="11547" width="7.1640625" style="320" bestFit="1" customWidth="1"/>
    <col min="11548" max="11549" width="9" style="320" customWidth="1"/>
    <col min="11550" max="11554" width="10.33203125" style="320" customWidth="1"/>
    <col min="11555" max="11776" width="9" style="320" customWidth="1"/>
    <col min="11777" max="11777" width="60.33203125" style="320" customWidth="1"/>
    <col min="11778" max="11778" width="2.83203125" style="320" customWidth="1"/>
    <col min="11779" max="11779" width="14.83203125" style="320" customWidth="1"/>
    <col min="11780" max="11780" width="13.83203125" style="320" bestFit="1" customWidth="1"/>
    <col min="11781" max="11781" width="15.33203125" style="320" customWidth="1"/>
    <col min="11782" max="11782" width="14.1640625" style="320" customWidth="1"/>
    <col min="11783" max="11783" width="15.1640625" style="320" customWidth="1"/>
    <col min="11784" max="11784" width="13.33203125" style="320" customWidth="1"/>
    <col min="11785" max="11785" width="17.33203125" style="320" customWidth="1"/>
    <col min="11786" max="11786" width="15.1640625" style="320" customWidth="1"/>
    <col min="11787" max="11787" width="19.6640625" style="320" customWidth="1"/>
    <col min="11788" max="11790" width="16" style="320" customWidth="1"/>
    <col min="11791" max="11791" width="14.83203125" style="320" customWidth="1"/>
    <col min="11792" max="11792" width="17.33203125" style="320" customWidth="1"/>
    <col min="11793" max="11793" width="14.83203125" style="320" customWidth="1"/>
    <col min="11794" max="11802" width="9" style="320" customWidth="1"/>
    <col min="11803" max="11803" width="7.1640625" style="320" bestFit="1" customWidth="1"/>
    <col min="11804" max="11805" width="9" style="320" customWidth="1"/>
    <col min="11806" max="11810" width="10.33203125" style="320" customWidth="1"/>
    <col min="11811" max="12032" width="9" style="320" customWidth="1"/>
    <col min="12033" max="12033" width="60.33203125" style="320" customWidth="1"/>
    <col min="12034" max="12034" width="2.83203125" style="320" customWidth="1"/>
    <col min="12035" max="12035" width="14.83203125" style="320" customWidth="1"/>
    <col min="12036" max="12036" width="13.83203125" style="320" bestFit="1" customWidth="1"/>
    <col min="12037" max="12037" width="15.33203125" style="320" customWidth="1"/>
    <col min="12038" max="12038" width="14.1640625" style="320" customWidth="1"/>
    <col min="12039" max="12039" width="15.1640625" style="320" customWidth="1"/>
    <col min="12040" max="12040" width="13.33203125" style="320" customWidth="1"/>
    <col min="12041" max="12041" width="17.33203125" style="320" customWidth="1"/>
    <col min="12042" max="12042" width="15.1640625" style="320" customWidth="1"/>
    <col min="12043" max="12043" width="19.6640625" style="320" customWidth="1"/>
    <col min="12044" max="12046" width="16" style="320" customWidth="1"/>
    <col min="12047" max="12047" width="14.83203125" style="320" customWidth="1"/>
    <col min="12048" max="12048" width="17.33203125" style="320" customWidth="1"/>
    <col min="12049" max="12049" width="14.83203125" style="320" customWidth="1"/>
    <col min="12050" max="12058" width="9" style="320" customWidth="1"/>
    <col min="12059" max="12059" width="7.1640625" style="320" bestFit="1" customWidth="1"/>
    <col min="12060" max="12061" width="9" style="320" customWidth="1"/>
    <col min="12062" max="12066" width="10.33203125" style="320" customWidth="1"/>
    <col min="12067" max="12288" width="9" style="320" customWidth="1"/>
    <col min="12289" max="12289" width="60.33203125" style="320" customWidth="1"/>
    <col min="12290" max="12290" width="2.83203125" style="320" customWidth="1"/>
    <col min="12291" max="12291" width="14.83203125" style="320" customWidth="1"/>
    <col min="12292" max="12292" width="13.83203125" style="320" bestFit="1" customWidth="1"/>
    <col min="12293" max="12293" width="15.33203125" style="320" customWidth="1"/>
    <col min="12294" max="12294" width="14.1640625" style="320" customWidth="1"/>
    <col min="12295" max="12295" width="15.1640625" style="320" customWidth="1"/>
    <col min="12296" max="12296" width="13.33203125" style="320" customWidth="1"/>
    <col min="12297" max="12297" width="17.33203125" style="320" customWidth="1"/>
    <col min="12298" max="12298" width="15.1640625" style="320" customWidth="1"/>
    <col min="12299" max="12299" width="19.6640625" style="320" customWidth="1"/>
    <col min="12300" max="12302" width="16" style="320" customWidth="1"/>
    <col min="12303" max="12303" width="14.83203125" style="320" customWidth="1"/>
    <col min="12304" max="12304" width="17.33203125" style="320" customWidth="1"/>
    <col min="12305" max="12305" width="14.83203125" style="320" customWidth="1"/>
    <col min="12306" max="12314" width="9" style="320" customWidth="1"/>
    <col min="12315" max="12315" width="7.1640625" style="320" bestFit="1" customWidth="1"/>
    <col min="12316" max="12317" width="9" style="320" customWidth="1"/>
    <col min="12318" max="12322" width="10.33203125" style="320" customWidth="1"/>
    <col min="12323" max="12544" width="9" style="320" customWidth="1"/>
    <col min="12545" max="12545" width="60.33203125" style="320" customWidth="1"/>
    <col min="12546" max="12546" width="2.83203125" style="320" customWidth="1"/>
    <col min="12547" max="12547" width="14.83203125" style="320" customWidth="1"/>
    <col min="12548" max="12548" width="13.83203125" style="320" bestFit="1" customWidth="1"/>
    <col min="12549" max="12549" width="15.33203125" style="320" customWidth="1"/>
    <col min="12550" max="12550" width="14.1640625" style="320" customWidth="1"/>
    <col min="12551" max="12551" width="15.1640625" style="320" customWidth="1"/>
    <col min="12552" max="12552" width="13.33203125" style="320" customWidth="1"/>
    <col min="12553" max="12553" width="17.33203125" style="320" customWidth="1"/>
    <col min="12554" max="12554" width="15.1640625" style="320" customWidth="1"/>
    <col min="12555" max="12555" width="19.6640625" style="320" customWidth="1"/>
    <col min="12556" max="12558" width="16" style="320" customWidth="1"/>
    <col min="12559" max="12559" width="14.83203125" style="320" customWidth="1"/>
    <col min="12560" max="12560" width="17.33203125" style="320" customWidth="1"/>
    <col min="12561" max="12561" width="14.83203125" style="320" customWidth="1"/>
    <col min="12562" max="12570" width="9" style="320" customWidth="1"/>
    <col min="12571" max="12571" width="7.1640625" style="320" bestFit="1" customWidth="1"/>
    <col min="12572" max="12573" width="9" style="320" customWidth="1"/>
    <col min="12574" max="12578" width="10.33203125" style="320" customWidth="1"/>
    <col min="12579" max="12800" width="9" style="320" customWidth="1"/>
    <col min="12801" max="12801" width="60.33203125" style="320" customWidth="1"/>
    <col min="12802" max="12802" width="2.83203125" style="320" customWidth="1"/>
    <col min="12803" max="12803" width="14.83203125" style="320" customWidth="1"/>
    <col min="12804" max="12804" width="13.83203125" style="320" bestFit="1" customWidth="1"/>
    <col min="12805" max="12805" width="15.33203125" style="320" customWidth="1"/>
    <col min="12806" max="12806" width="14.1640625" style="320" customWidth="1"/>
    <col min="12807" max="12807" width="15.1640625" style="320" customWidth="1"/>
    <col min="12808" max="12808" width="13.33203125" style="320" customWidth="1"/>
    <col min="12809" max="12809" width="17.33203125" style="320" customWidth="1"/>
    <col min="12810" max="12810" width="15.1640625" style="320" customWidth="1"/>
    <col min="12811" max="12811" width="19.6640625" style="320" customWidth="1"/>
    <col min="12812" max="12814" width="16" style="320" customWidth="1"/>
    <col min="12815" max="12815" width="14.83203125" style="320" customWidth="1"/>
    <col min="12816" max="12816" width="17.33203125" style="320" customWidth="1"/>
    <col min="12817" max="12817" width="14.83203125" style="320" customWidth="1"/>
    <col min="12818" max="12826" width="9" style="320" customWidth="1"/>
    <col min="12827" max="12827" width="7.1640625" style="320" bestFit="1" customWidth="1"/>
    <col min="12828" max="12829" width="9" style="320" customWidth="1"/>
    <col min="12830" max="12834" width="10.33203125" style="320" customWidth="1"/>
    <col min="12835" max="13056" width="9" style="320" customWidth="1"/>
    <col min="13057" max="13057" width="60.33203125" style="320" customWidth="1"/>
    <col min="13058" max="13058" width="2.83203125" style="320" customWidth="1"/>
    <col min="13059" max="13059" width="14.83203125" style="320" customWidth="1"/>
    <col min="13060" max="13060" width="13.83203125" style="320" bestFit="1" customWidth="1"/>
    <col min="13061" max="13061" width="15.33203125" style="320" customWidth="1"/>
    <col min="13062" max="13062" width="14.1640625" style="320" customWidth="1"/>
    <col min="13063" max="13063" width="15.1640625" style="320" customWidth="1"/>
    <col min="13064" max="13064" width="13.33203125" style="320" customWidth="1"/>
    <col min="13065" max="13065" width="17.33203125" style="320" customWidth="1"/>
    <col min="13066" max="13066" width="15.1640625" style="320" customWidth="1"/>
    <col min="13067" max="13067" width="19.6640625" style="320" customWidth="1"/>
    <col min="13068" max="13070" width="16" style="320" customWidth="1"/>
    <col min="13071" max="13071" width="14.83203125" style="320" customWidth="1"/>
    <col min="13072" max="13072" width="17.33203125" style="320" customWidth="1"/>
    <col min="13073" max="13073" width="14.83203125" style="320" customWidth="1"/>
    <col min="13074" max="13082" width="9" style="320" customWidth="1"/>
    <col min="13083" max="13083" width="7.1640625" style="320" bestFit="1" customWidth="1"/>
    <col min="13084" max="13085" width="9" style="320" customWidth="1"/>
    <col min="13086" max="13090" width="10.33203125" style="320" customWidth="1"/>
    <col min="13091" max="13312" width="9" style="320" customWidth="1"/>
    <col min="13313" max="13313" width="60.33203125" style="320" customWidth="1"/>
    <col min="13314" max="13314" width="2.83203125" style="320" customWidth="1"/>
    <col min="13315" max="13315" width="14.83203125" style="320" customWidth="1"/>
    <col min="13316" max="13316" width="13.83203125" style="320" bestFit="1" customWidth="1"/>
    <col min="13317" max="13317" width="15.33203125" style="320" customWidth="1"/>
    <col min="13318" max="13318" width="14.1640625" style="320" customWidth="1"/>
    <col min="13319" max="13319" width="15.1640625" style="320" customWidth="1"/>
    <col min="13320" max="13320" width="13.33203125" style="320" customWidth="1"/>
    <col min="13321" max="13321" width="17.33203125" style="320" customWidth="1"/>
    <col min="13322" max="13322" width="15.1640625" style="320" customWidth="1"/>
    <col min="13323" max="13323" width="19.6640625" style="320" customWidth="1"/>
    <col min="13324" max="13326" width="16" style="320" customWidth="1"/>
    <col min="13327" max="13327" width="14.83203125" style="320" customWidth="1"/>
    <col min="13328" max="13328" width="17.33203125" style="320" customWidth="1"/>
    <col min="13329" max="13329" width="14.83203125" style="320" customWidth="1"/>
    <col min="13330" max="13338" width="9" style="320" customWidth="1"/>
    <col min="13339" max="13339" width="7.1640625" style="320" bestFit="1" customWidth="1"/>
    <col min="13340" max="13341" width="9" style="320" customWidth="1"/>
    <col min="13342" max="13346" width="10.33203125" style="320" customWidth="1"/>
    <col min="13347" max="13568" width="9" style="320" customWidth="1"/>
    <col min="13569" max="13569" width="60.33203125" style="320" customWidth="1"/>
    <col min="13570" max="13570" width="2.83203125" style="320" customWidth="1"/>
    <col min="13571" max="13571" width="14.83203125" style="320" customWidth="1"/>
    <col min="13572" max="13572" width="13.83203125" style="320" bestFit="1" customWidth="1"/>
    <col min="13573" max="13573" width="15.33203125" style="320" customWidth="1"/>
    <col min="13574" max="13574" width="14.1640625" style="320" customWidth="1"/>
    <col min="13575" max="13575" width="15.1640625" style="320" customWidth="1"/>
    <col min="13576" max="13576" width="13.33203125" style="320" customWidth="1"/>
    <col min="13577" max="13577" width="17.33203125" style="320" customWidth="1"/>
    <col min="13578" max="13578" width="15.1640625" style="320" customWidth="1"/>
    <col min="13579" max="13579" width="19.6640625" style="320" customWidth="1"/>
    <col min="13580" max="13582" width="16" style="320" customWidth="1"/>
    <col min="13583" max="13583" width="14.83203125" style="320" customWidth="1"/>
    <col min="13584" max="13584" width="17.33203125" style="320" customWidth="1"/>
    <col min="13585" max="13585" width="14.83203125" style="320" customWidth="1"/>
    <col min="13586" max="13594" width="9" style="320" customWidth="1"/>
    <col min="13595" max="13595" width="7.1640625" style="320" bestFit="1" customWidth="1"/>
    <col min="13596" max="13597" width="9" style="320" customWidth="1"/>
    <col min="13598" max="13602" width="10.33203125" style="320" customWidth="1"/>
    <col min="13603" max="13824" width="9" style="320" customWidth="1"/>
    <col min="13825" max="13825" width="60.33203125" style="320" customWidth="1"/>
    <col min="13826" max="13826" width="2.83203125" style="320" customWidth="1"/>
    <col min="13827" max="13827" width="14.83203125" style="320" customWidth="1"/>
    <col min="13828" max="13828" width="13.83203125" style="320" bestFit="1" customWidth="1"/>
    <col min="13829" max="13829" width="15.33203125" style="320" customWidth="1"/>
    <col min="13830" max="13830" width="14.1640625" style="320" customWidth="1"/>
    <col min="13831" max="13831" width="15.1640625" style="320" customWidth="1"/>
    <col min="13832" max="13832" width="13.33203125" style="320" customWidth="1"/>
    <col min="13833" max="13833" width="17.33203125" style="320" customWidth="1"/>
    <col min="13834" max="13834" width="15.1640625" style="320" customWidth="1"/>
    <col min="13835" max="13835" width="19.6640625" style="320" customWidth="1"/>
    <col min="13836" max="13838" width="16" style="320" customWidth="1"/>
    <col min="13839" max="13839" width="14.83203125" style="320" customWidth="1"/>
    <col min="13840" max="13840" width="17.33203125" style="320" customWidth="1"/>
    <col min="13841" max="13841" width="14.83203125" style="320" customWidth="1"/>
    <col min="13842" max="13850" width="9" style="320" customWidth="1"/>
    <col min="13851" max="13851" width="7.1640625" style="320" bestFit="1" customWidth="1"/>
    <col min="13852" max="13853" width="9" style="320" customWidth="1"/>
    <col min="13854" max="13858" width="10.33203125" style="320" customWidth="1"/>
    <col min="13859" max="14080" width="9" style="320" customWidth="1"/>
    <col min="14081" max="14081" width="60.33203125" style="320" customWidth="1"/>
    <col min="14082" max="14082" width="2.83203125" style="320" customWidth="1"/>
    <col min="14083" max="14083" width="14.83203125" style="320" customWidth="1"/>
    <col min="14084" max="14084" width="13.83203125" style="320" bestFit="1" customWidth="1"/>
    <col min="14085" max="14085" width="15.33203125" style="320" customWidth="1"/>
    <col min="14086" max="14086" width="14.1640625" style="320" customWidth="1"/>
    <col min="14087" max="14087" width="15.1640625" style="320" customWidth="1"/>
    <col min="14088" max="14088" width="13.33203125" style="320" customWidth="1"/>
    <col min="14089" max="14089" width="17.33203125" style="320" customWidth="1"/>
    <col min="14090" max="14090" width="15.1640625" style="320" customWidth="1"/>
    <col min="14091" max="14091" width="19.6640625" style="320" customWidth="1"/>
    <col min="14092" max="14094" width="16" style="320" customWidth="1"/>
    <col min="14095" max="14095" width="14.83203125" style="320" customWidth="1"/>
    <col min="14096" max="14096" width="17.33203125" style="320" customWidth="1"/>
    <col min="14097" max="14097" width="14.83203125" style="320" customWidth="1"/>
    <col min="14098" max="14106" width="9" style="320" customWidth="1"/>
    <col min="14107" max="14107" width="7.1640625" style="320" bestFit="1" customWidth="1"/>
    <col min="14108" max="14109" width="9" style="320" customWidth="1"/>
    <col min="14110" max="14114" width="10.33203125" style="320" customWidth="1"/>
    <col min="14115" max="14336" width="9" style="320" customWidth="1"/>
    <col min="14337" max="14337" width="60.33203125" style="320" customWidth="1"/>
    <col min="14338" max="14338" width="2.83203125" style="320" customWidth="1"/>
    <col min="14339" max="14339" width="14.83203125" style="320" customWidth="1"/>
    <col min="14340" max="14340" width="13.83203125" style="320" bestFit="1" customWidth="1"/>
    <col min="14341" max="14341" width="15.33203125" style="320" customWidth="1"/>
    <col min="14342" max="14342" width="14.1640625" style="320" customWidth="1"/>
    <col min="14343" max="14343" width="15.1640625" style="320" customWidth="1"/>
    <col min="14344" max="14344" width="13.33203125" style="320" customWidth="1"/>
    <col min="14345" max="14345" width="17.33203125" style="320" customWidth="1"/>
    <col min="14346" max="14346" width="15.1640625" style="320" customWidth="1"/>
    <col min="14347" max="14347" width="19.6640625" style="320" customWidth="1"/>
    <col min="14348" max="14350" width="16" style="320" customWidth="1"/>
    <col min="14351" max="14351" width="14.83203125" style="320" customWidth="1"/>
    <col min="14352" max="14352" width="17.33203125" style="320" customWidth="1"/>
    <col min="14353" max="14353" width="14.83203125" style="320" customWidth="1"/>
    <col min="14354" max="14362" width="9" style="320" customWidth="1"/>
    <col min="14363" max="14363" width="7.1640625" style="320" bestFit="1" customWidth="1"/>
    <col min="14364" max="14365" width="9" style="320" customWidth="1"/>
    <col min="14366" max="14370" width="10.33203125" style="320" customWidth="1"/>
    <col min="14371" max="14592" width="9" style="320" customWidth="1"/>
    <col min="14593" max="14593" width="60.33203125" style="320" customWidth="1"/>
    <col min="14594" max="14594" width="2.83203125" style="320" customWidth="1"/>
    <col min="14595" max="14595" width="14.83203125" style="320" customWidth="1"/>
    <col min="14596" max="14596" width="13.83203125" style="320" bestFit="1" customWidth="1"/>
    <col min="14597" max="14597" width="15.33203125" style="320" customWidth="1"/>
    <col min="14598" max="14598" width="14.1640625" style="320" customWidth="1"/>
    <col min="14599" max="14599" width="15.1640625" style="320" customWidth="1"/>
    <col min="14600" max="14600" width="13.33203125" style="320" customWidth="1"/>
    <col min="14601" max="14601" width="17.33203125" style="320" customWidth="1"/>
    <col min="14602" max="14602" width="15.1640625" style="320" customWidth="1"/>
    <col min="14603" max="14603" width="19.6640625" style="320" customWidth="1"/>
    <col min="14604" max="14606" width="16" style="320" customWidth="1"/>
    <col min="14607" max="14607" width="14.83203125" style="320" customWidth="1"/>
    <col min="14608" max="14608" width="17.33203125" style="320" customWidth="1"/>
    <col min="14609" max="14609" width="14.83203125" style="320" customWidth="1"/>
    <col min="14610" max="14618" width="9" style="320" customWidth="1"/>
    <col min="14619" max="14619" width="7.1640625" style="320" bestFit="1" customWidth="1"/>
    <col min="14620" max="14621" width="9" style="320" customWidth="1"/>
    <col min="14622" max="14626" width="10.33203125" style="320" customWidth="1"/>
    <col min="14627" max="14848" width="9" style="320" customWidth="1"/>
    <col min="14849" max="14849" width="60.33203125" style="320" customWidth="1"/>
    <col min="14850" max="14850" width="2.83203125" style="320" customWidth="1"/>
    <col min="14851" max="14851" width="14.83203125" style="320" customWidth="1"/>
    <col min="14852" max="14852" width="13.83203125" style="320" bestFit="1" customWidth="1"/>
    <col min="14853" max="14853" width="15.33203125" style="320" customWidth="1"/>
    <col min="14854" max="14854" width="14.1640625" style="320" customWidth="1"/>
    <col min="14855" max="14855" width="15.1640625" style="320" customWidth="1"/>
    <col min="14856" max="14856" width="13.33203125" style="320" customWidth="1"/>
    <col min="14857" max="14857" width="17.33203125" style="320" customWidth="1"/>
    <col min="14858" max="14858" width="15.1640625" style="320" customWidth="1"/>
    <col min="14859" max="14859" width="19.6640625" style="320" customWidth="1"/>
    <col min="14860" max="14862" width="16" style="320" customWidth="1"/>
    <col min="14863" max="14863" width="14.83203125" style="320" customWidth="1"/>
    <col min="14864" max="14864" width="17.33203125" style="320" customWidth="1"/>
    <col min="14865" max="14865" width="14.83203125" style="320" customWidth="1"/>
    <col min="14866" max="14874" width="9" style="320" customWidth="1"/>
    <col min="14875" max="14875" width="7.1640625" style="320" bestFit="1" customWidth="1"/>
    <col min="14876" max="14877" width="9" style="320" customWidth="1"/>
    <col min="14878" max="14882" width="10.33203125" style="320" customWidth="1"/>
    <col min="14883" max="15104" width="9" style="320" customWidth="1"/>
    <col min="15105" max="15105" width="60.33203125" style="320" customWidth="1"/>
    <col min="15106" max="15106" width="2.83203125" style="320" customWidth="1"/>
    <col min="15107" max="15107" width="14.83203125" style="320" customWidth="1"/>
    <col min="15108" max="15108" width="13.83203125" style="320" bestFit="1" customWidth="1"/>
    <col min="15109" max="15109" width="15.33203125" style="320" customWidth="1"/>
    <col min="15110" max="15110" width="14.1640625" style="320" customWidth="1"/>
    <col min="15111" max="15111" width="15.1640625" style="320" customWidth="1"/>
    <col min="15112" max="15112" width="13.33203125" style="320" customWidth="1"/>
    <col min="15113" max="15113" width="17.33203125" style="320" customWidth="1"/>
    <col min="15114" max="15114" width="15.1640625" style="320" customWidth="1"/>
    <col min="15115" max="15115" width="19.6640625" style="320" customWidth="1"/>
    <col min="15116" max="15118" width="16" style="320" customWidth="1"/>
    <col min="15119" max="15119" width="14.83203125" style="320" customWidth="1"/>
    <col min="15120" max="15120" width="17.33203125" style="320" customWidth="1"/>
    <col min="15121" max="15121" width="14.83203125" style="320" customWidth="1"/>
    <col min="15122" max="15130" width="9" style="320" customWidth="1"/>
    <col min="15131" max="15131" width="7.1640625" style="320" bestFit="1" customWidth="1"/>
    <col min="15132" max="15133" width="9" style="320" customWidth="1"/>
    <col min="15134" max="15138" width="10.33203125" style="320" customWidth="1"/>
    <col min="15139" max="15360" width="9" style="320" customWidth="1"/>
    <col min="15361" max="15361" width="60.33203125" style="320" customWidth="1"/>
    <col min="15362" max="15362" width="2.83203125" style="320" customWidth="1"/>
    <col min="15363" max="15363" width="14.83203125" style="320" customWidth="1"/>
    <col min="15364" max="15364" width="13.83203125" style="320" bestFit="1" customWidth="1"/>
    <col min="15365" max="15365" width="15.33203125" style="320" customWidth="1"/>
    <col min="15366" max="15366" width="14.1640625" style="320" customWidth="1"/>
    <col min="15367" max="15367" width="15.1640625" style="320" customWidth="1"/>
    <col min="15368" max="15368" width="13.33203125" style="320" customWidth="1"/>
    <col min="15369" max="15369" width="17.33203125" style="320" customWidth="1"/>
    <col min="15370" max="15370" width="15.1640625" style="320" customWidth="1"/>
    <col min="15371" max="15371" width="19.6640625" style="320" customWidth="1"/>
    <col min="15372" max="15374" width="16" style="320" customWidth="1"/>
    <col min="15375" max="15375" width="14.83203125" style="320" customWidth="1"/>
    <col min="15376" max="15376" width="17.33203125" style="320" customWidth="1"/>
    <col min="15377" max="15377" width="14.83203125" style="320" customWidth="1"/>
    <col min="15378" max="15386" width="9" style="320" customWidth="1"/>
    <col min="15387" max="15387" width="7.1640625" style="320" bestFit="1" customWidth="1"/>
    <col min="15388" max="15389" width="9" style="320" customWidth="1"/>
    <col min="15390" max="15394" width="10.33203125" style="320" customWidth="1"/>
    <col min="15395" max="15616" width="9" style="320" customWidth="1"/>
    <col min="15617" max="15617" width="60.33203125" style="320" customWidth="1"/>
    <col min="15618" max="15618" width="2.83203125" style="320" customWidth="1"/>
    <col min="15619" max="15619" width="14.83203125" style="320" customWidth="1"/>
    <col min="15620" max="15620" width="13.83203125" style="320" bestFit="1" customWidth="1"/>
    <col min="15621" max="15621" width="15.33203125" style="320" customWidth="1"/>
    <col min="15622" max="15622" width="14.1640625" style="320" customWidth="1"/>
    <col min="15623" max="15623" width="15.1640625" style="320" customWidth="1"/>
    <col min="15624" max="15624" width="13.33203125" style="320" customWidth="1"/>
    <col min="15625" max="15625" width="17.33203125" style="320" customWidth="1"/>
    <col min="15626" max="15626" width="15.1640625" style="320" customWidth="1"/>
    <col min="15627" max="15627" width="19.6640625" style="320" customWidth="1"/>
    <col min="15628" max="15630" width="16" style="320" customWidth="1"/>
    <col min="15631" max="15631" width="14.83203125" style="320" customWidth="1"/>
    <col min="15632" max="15632" width="17.33203125" style="320" customWidth="1"/>
    <col min="15633" max="15633" width="14.83203125" style="320" customWidth="1"/>
    <col min="15634" max="15642" width="9" style="320" customWidth="1"/>
    <col min="15643" max="15643" width="7.1640625" style="320" bestFit="1" customWidth="1"/>
    <col min="15644" max="15645" width="9" style="320" customWidth="1"/>
    <col min="15646" max="15650" width="10.33203125" style="320" customWidth="1"/>
    <col min="15651" max="15872" width="9" style="320" customWidth="1"/>
    <col min="15873" max="15873" width="60.33203125" style="320" customWidth="1"/>
    <col min="15874" max="15874" width="2.83203125" style="320" customWidth="1"/>
    <col min="15875" max="15875" width="14.83203125" style="320" customWidth="1"/>
    <col min="15876" max="15876" width="13.83203125" style="320" bestFit="1" customWidth="1"/>
    <col min="15877" max="15877" width="15.33203125" style="320" customWidth="1"/>
    <col min="15878" max="15878" width="14.1640625" style="320" customWidth="1"/>
    <col min="15879" max="15879" width="15.1640625" style="320" customWidth="1"/>
    <col min="15880" max="15880" width="13.33203125" style="320" customWidth="1"/>
    <col min="15881" max="15881" width="17.33203125" style="320" customWidth="1"/>
    <col min="15882" max="15882" width="15.1640625" style="320" customWidth="1"/>
    <col min="15883" max="15883" width="19.6640625" style="320" customWidth="1"/>
    <col min="15884" max="15886" width="16" style="320" customWidth="1"/>
    <col min="15887" max="15887" width="14.83203125" style="320" customWidth="1"/>
    <col min="15888" max="15888" width="17.33203125" style="320" customWidth="1"/>
    <col min="15889" max="15889" width="14.83203125" style="320" customWidth="1"/>
    <col min="15890" max="15898" width="9" style="320" customWidth="1"/>
    <col min="15899" max="15899" width="7.1640625" style="320" bestFit="1" customWidth="1"/>
    <col min="15900" max="15901" width="9" style="320" customWidth="1"/>
    <col min="15902" max="15906" width="10.33203125" style="320" customWidth="1"/>
    <col min="15907" max="16128" width="9" style="320" customWidth="1"/>
    <col min="16129" max="16129" width="60.33203125" style="320" customWidth="1"/>
    <col min="16130" max="16130" width="2.83203125" style="320" customWidth="1"/>
    <col min="16131" max="16131" width="14.83203125" style="320" customWidth="1"/>
    <col min="16132" max="16132" width="13.83203125" style="320" bestFit="1" customWidth="1"/>
    <col min="16133" max="16133" width="15.33203125" style="320" customWidth="1"/>
    <col min="16134" max="16134" width="14.1640625" style="320" customWidth="1"/>
    <col min="16135" max="16135" width="15.1640625" style="320" customWidth="1"/>
    <col min="16136" max="16136" width="13.33203125" style="320" customWidth="1"/>
    <col min="16137" max="16137" width="17.33203125" style="320" customWidth="1"/>
    <col min="16138" max="16138" width="15.1640625" style="320" customWidth="1"/>
    <col min="16139" max="16139" width="19.6640625" style="320" customWidth="1"/>
    <col min="16140" max="16142" width="16" style="320" customWidth="1"/>
    <col min="16143" max="16143" width="14.83203125" style="320" customWidth="1"/>
    <col min="16144" max="16144" width="17.33203125" style="320" customWidth="1"/>
    <col min="16145" max="16145" width="14.83203125" style="320" customWidth="1"/>
    <col min="16146" max="16154" width="9" style="320" customWidth="1"/>
    <col min="16155" max="16155" width="7.1640625" style="320" bestFit="1" customWidth="1"/>
    <col min="16156" max="16157" width="9" style="320" customWidth="1"/>
    <col min="16158" max="16162" width="10.33203125" style="320" customWidth="1"/>
    <col min="16163" max="16384" width="9" style="320" customWidth="1"/>
  </cols>
  <sheetData>
    <row r="1" spans="1:27" x14ac:dyDescent="0.2">
      <c r="A1" s="319" t="s">
        <v>0</v>
      </c>
      <c r="B1" s="942" t="str">
        <f>'Cover Page'!D1</f>
        <v>ASU Preparatory Academy- Polytechnic MS</v>
      </c>
      <c r="C1" s="942"/>
      <c r="D1" s="942"/>
      <c r="E1" s="942"/>
      <c r="G1" s="319" t="s">
        <v>1</v>
      </c>
      <c r="H1" s="942" t="str">
        <f>'Cover Page'!M1</f>
        <v>Maricopa</v>
      </c>
      <c r="I1" s="942"/>
      <c r="K1" s="319" t="s">
        <v>2</v>
      </c>
      <c r="L1" s="322" t="str">
        <f>'Cover Page'!R1</f>
        <v>078251000</v>
      </c>
      <c r="M1" s="323"/>
      <c r="N1" s="323"/>
      <c r="O1" s="324"/>
      <c r="P1" s="325"/>
    </row>
    <row r="2" spans="1:27" x14ac:dyDescent="0.2">
      <c r="A2" s="319"/>
      <c r="B2" s="319"/>
      <c r="C2" s="329"/>
      <c r="D2" s="323"/>
      <c r="E2" s="330"/>
      <c r="F2" s="330"/>
      <c r="G2" s="330"/>
      <c r="H2" s="319"/>
      <c r="I2" s="323"/>
      <c r="J2" s="323"/>
      <c r="K2" s="323"/>
      <c r="L2" s="330"/>
      <c r="M2" s="323"/>
      <c r="N2" s="323"/>
      <c r="O2" s="324"/>
      <c r="P2" s="324"/>
      <c r="Q2" s="331"/>
    </row>
    <row r="3" spans="1:27" x14ac:dyDescent="0.2">
      <c r="A3" s="658" t="s">
        <v>726</v>
      </c>
      <c r="B3"/>
      <c r="C3" t="s">
        <v>416</v>
      </c>
      <c r="D3" s="558"/>
      <c r="E3" s="558"/>
      <c r="F3" s="558"/>
      <c r="G3" s="558"/>
      <c r="H3" s="558"/>
      <c r="I3" s="558"/>
      <c r="J3" s="558"/>
      <c r="K3" s="558"/>
      <c r="L3" s="558"/>
      <c r="M3" s="558"/>
      <c r="N3" s="324"/>
    </row>
    <row r="4" spans="1:27" ht="24" customHeight="1" x14ac:dyDescent="0.2">
      <c r="L4" s="324"/>
      <c r="M4" s="558"/>
      <c r="N4" s="558"/>
    </row>
    <row r="5" spans="1:27" x14ac:dyDescent="0.2">
      <c r="A5" s="929"/>
      <c r="B5" s="31"/>
      <c r="C5" s="332"/>
      <c r="D5" s="931" t="s">
        <v>351</v>
      </c>
      <c r="E5" s="932"/>
      <c r="F5" s="932"/>
      <c r="G5" s="932"/>
      <c r="H5" s="932"/>
      <c r="I5" s="932"/>
      <c r="J5" s="932"/>
      <c r="K5" s="932"/>
      <c r="L5" s="933"/>
      <c r="M5" s="333" t="s">
        <v>417</v>
      </c>
      <c r="N5" s="934" t="s">
        <v>283</v>
      </c>
    </row>
    <row r="6" spans="1:27" x14ac:dyDescent="0.2">
      <c r="A6" s="930"/>
      <c r="D6" s="334"/>
      <c r="E6" s="335"/>
      <c r="F6" s="335" t="s">
        <v>150</v>
      </c>
      <c r="G6" s="335"/>
      <c r="H6" s="335"/>
      <c r="I6" s="335"/>
      <c r="J6" s="335"/>
      <c r="K6" s="335" t="s">
        <v>94</v>
      </c>
      <c r="L6" s="336"/>
      <c r="N6" s="935"/>
    </row>
    <row r="7" spans="1:27" x14ac:dyDescent="0.2">
      <c r="D7" s="337"/>
      <c r="E7" s="338" t="s">
        <v>85</v>
      </c>
      <c r="F7" s="338" t="s">
        <v>92</v>
      </c>
      <c r="G7" s="338"/>
      <c r="H7" s="338" t="s">
        <v>352</v>
      </c>
      <c r="I7" s="338" t="s">
        <v>418</v>
      </c>
      <c r="J7" s="338"/>
      <c r="K7" s="339" t="s">
        <v>353</v>
      </c>
      <c r="L7" s="340"/>
      <c r="M7" s="341" t="s">
        <v>419</v>
      </c>
      <c r="N7" s="935"/>
    </row>
    <row r="8" spans="1:27" ht="12" customHeight="1" x14ac:dyDescent="0.2">
      <c r="A8" s="937" t="s">
        <v>420</v>
      </c>
      <c r="B8" s="937"/>
      <c r="C8" s="938"/>
      <c r="D8" s="338" t="s">
        <v>90</v>
      </c>
      <c r="E8" s="342" t="s">
        <v>91</v>
      </c>
      <c r="F8" s="342" t="s">
        <v>354</v>
      </c>
      <c r="G8" s="342" t="s">
        <v>93</v>
      </c>
      <c r="H8" s="342" t="s">
        <v>355</v>
      </c>
      <c r="I8" s="342" t="s">
        <v>421</v>
      </c>
      <c r="J8" s="342" t="s">
        <v>356</v>
      </c>
      <c r="K8" s="339" t="s">
        <v>422</v>
      </c>
      <c r="L8" s="343" t="s">
        <v>358</v>
      </c>
      <c r="M8" s="341" t="s">
        <v>423</v>
      </c>
      <c r="N8" s="935"/>
    </row>
    <row r="9" spans="1:27" x14ac:dyDescent="0.2">
      <c r="A9" s="939"/>
      <c r="B9" s="939"/>
      <c r="C9" s="940"/>
      <c r="D9" s="344">
        <v>6100</v>
      </c>
      <c r="E9" s="344">
        <v>6200</v>
      </c>
      <c r="F9" s="344">
        <v>6500</v>
      </c>
      <c r="G9" s="344">
        <v>6600</v>
      </c>
      <c r="H9" s="344">
        <v>6810</v>
      </c>
      <c r="I9" s="344">
        <v>6820</v>
      </c>
      <c r="J9" s="344">
        <v>6890</v>
      </c>
      <c r="K9" s="344" t="s">
        <v>424</v>
      </c>
      <c r="L9" s="343" t="s">
        <v>361</v>
      </c>
      <c r="M9" s="345" t="s">
        <v>425</v>
      </c>
      <c r="N9" s="936"/>
    </row>
    <row r="10" spans="1:27" ht="12.75" customHeight="1" x14ac:dyDescent="0.2">
      <c r="A10" s="346" t="s">
        <v>197</v>
      </c>
      <c r="B10" s="347"/>
      <c r="C10" s="348" t="s">
        <v>24</v>
      </c>
      <c r="D10" s="349">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49">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49">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49">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49">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50"/>
      <c r="J10" s="349">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49">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2">
        <v>0</v>
      </c>
      <c r="M10" s="349">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51">
        <f t="shared" ref="N10:N19" si="0">ROUND(SUM(D10:M10),0)</f>
        <v>0</v>
      </c>
      <c r="O10" s="352"/>
    </row>
    <row r="11" spans="1:27" x14ac:dyDescent="0.2">
      <c r="A11" s="353" t="s">
        <v>426</v>
      </c>
      <c r="B11" s="581"/>
      <c r="C11" s="354" t="s">
        <v>26</v>
      </c>
      <c r="D11" s="349">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0</v>
      </c>
      <c r="E11" s="349">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0</v>
      </c>
      <c r="F11" s="349">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49">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49">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50"/>
      <c r="J11" s="349">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49">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2">
        <v>0</v>
      </c>
      <c r="M11" s="349">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51">
        <f t="shared" si="0"/>
        <v>0</v>
      </c>
      <c r="O11" s="352"/>
    </row>
    <row r="12" spans="1:27" x14ac:dyDescent="0.2">
      <c r="A12" s="353" t="s">
        <v>427</v>
      </c>
      <c r="B12" s="581"/>
      <c r="C12" s="354" t="s">
        <v>28</v>
      </c>
      <c r="D12" s="349">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49">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49">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49">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49">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49">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49">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49">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2">
        <v>0</v>
      </c>
      <c r="M12" s="355" cm="1">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51">
        <f t="shared" si="0"/>
        <v>0</v>
      </c>
      <c r="O12" s="352"/>
      <c r="AA12" s="356">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57" t="s">
        <v>202</v>
      </c>
      <c r="B13" s="358"/>
      <c r="C13" s="359" t="s">
        <v>31</v>
      </c>
      <c r="D13" s="349">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49">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49">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49">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49">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50"/>
      <c r="J13" s="349">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49">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2">
        <v>0</v>
      </c>
      <c r="M13" s="349" cm="1">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51">
        <f t="shared" si="0"/>
        <v>0</v>
      </c>
      <c r="O13" s="360"/>
    </row>
    <row r="14" spans="1:27" x14ac:dyDescent="0.2">
      <c r="A14" s="353" t="s">
        <v>428</v>
      </c>
      <c r="B14" s="581"/>
      <c r="C14" s="359" t="s">
        <v>33</v>
      </c>
      <c r="D14" s="349">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49">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49">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49">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49">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50"/>
      <c r="J14" s="349">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49">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2">
        <v>0</v>
      </c>
      <c r="M14" s="349" cm="1">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51">
        <f t="shared" si="0"/>
        <v>0</v>
      </c>
      <c r="O14" s="360"/>
    </row>
    <row r="15" spans="1:27" x14ac:dyDescent="0.2">
      <c r="A15" s="361" t="s">
        <v>208</v>
      </c>
      <c r="B15" s="362"/>
      <c r="C15" s="359" t="s">
        <v>35</v>
      </c>
      <c r="D15" s="349">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49">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49">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49">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49">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50"/>
      <c r="J15" s="349">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49">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2">
        <v>0</v>
      </c>
      <c r="M15" s="349" cm="1">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51">
        <f t="shared" si="0"/>
        <v>0</v>
      </c>
      <c r="O15" s="360"/>
    </row>
    <row r="16" spans="1:27" x14ac:dyDescent="0.2">
      <c r="A16" s="361" t="s">
        <v>429</v>
      </c>
      <c r="B16" s="362"/>
      <c r="C16" s="359" t="s">
        <v>36</v>
      </c>
      <c r="D16" s="349">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49">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49">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49">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49">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50"/>
      <c r="J16" s="349">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49">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2">
        <v>0</v>
      </c>
      <c r="M16" s="349">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51">
        <f t="shared" si="0"/>
        <v>0</v>
      </c>
      <c r="O16" s="360"/>
    </row>
    <row r="17" spans="1:16" x14ac:dyDescent="0.2">
      <c r="A17" s="361" t="s">
        <v>430</v>
      </c>
      <c r="B17" s="362"/>
      <c r="C17" s="359" t="s">
        <v>38</v>
      </c>
      <c r="D17" s="349">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49">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49">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49">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49">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50"/>
      <c r="J17" s="349">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49">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2">
        <v>0</v>
      </c>
      <c r="M17" s="349">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51">
        <f t="shared" si="0"/>
        <v>0</v>
      </c>
      <c r="O17" s="360"/>
    </row>
    <row r="18" spans="1:16" x14ac:dyDescent="0.2">
      <c r="A18" s="363" t="s">
        <v>94</v>
      </c>
      <c r="B18" s="364"/>
      <c r="C18" s="365" t="s">
        <v>40</v>
      </c>
      <c r="D18" s="349">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49">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49">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49">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49">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50"/>
      <c r="J18" s="349">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49">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2">
        <v>0</v>
      </c>
      <c r="M18" s="349">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51">
        <f t="shared" si="0"/>
        <v>0</v>
      </c>
      <c r="O18" s="360"/>
    </row>
    <row r="19" spans="1:16" x14ac:dyDescent="0.2">
      <c r="A19" s="366" t="s">
        <v>431</v>
      </c>
      <c r="B19" s="367"/>
      <c r="C19" s="368" t="s">
        <v>42</v>
      </c>
      <c r="D19" s="369">
        <f>SUM(D10:D18)</f>
        <v>0</v>
      </c>
      <c r="E19" s="369">
        <f t="shared" ref="E19:M19" si="1">SUM(E10:E18)</f>
        <v>0</v>
      </c>
      <c r="F19" s="369">
        <f t="shared" si="1"/>
        <v>0</v>
      </c>
      <c r="G19" s="369">
        <f t="shared" si="1"/>
        <v>0</v>
      </c>
      <c r="H19" s="369">
        <f t="shared" si="1"/>
        <v>0</v>
      </c>
      <c r="I19" s="369">
        <f t="shared" si="1"/>
        <v>0</v>
      </c>
      <c r="J19" s="369">
        <f t="shared" si="1"/>
        <v>0</v>
      </c>
      <c r="K19" s="369">
        <f t="shared" si="1"/>
        <v>0</v>
      </c>
      <c r="L19" s="369">
        <f t="shared" si="1"/>
        <v>0</v>
      </c>
      <c r="M19" s="369">
        <f t="shared" si="1"/>
        <v>0</v>
      </c>
      <c r="N19" s="351">
        <f t="shared" si="0"/>
        <v>0</v>
      </c>
      <c r="O19" s="360"/>
    </row>
    <row r="20" spans="1:16" x14ac:dyDescent="0.2">
      <c r="H20" s="320"/>
      <c r="I20" s="320"/>
      <c r="J20" s="320"/>
      <c r="K20" s="320"/>
      <c r="L20" s="370"/>
    </row>
    <row r="21" spans="1:16" ht="34.5" customHeight="1" x14ac:dyDescent="0.2">
      <c r="A21" s="914" t="s">
        <v>432</v>
      </c>
      <c r="B21" s="915"/>
      <c r="C21" s="916"/>
      <c r="D21" s="607" t="s">
        <v>433</v>
      </c>
      <c r="E21" s="33" t="s">
        <v>434</v>
      </c>
      <c r="G21" s="371" t="s">
        <v>435</v>
      </c>
      <c r="H21" s="372"/>
      <c r="I21" s="372"/>
      <c r="J21" s="373"/>
      <c r="L21" s="374" t="s">
        <v>436</v>
      </c>
      <c r="M21" s="375"/>
      <c r="N21" s="375"/>
      <c r="O21" s="376"/>
    </row>
    <row r="22" spans="1:16" x14ac:dyDescent="0.2">
      <c r="A22" s="377" t="s">
        <v>437</v>
      </c>
      <c r="B22" s="378"/>
      <c r="C22" s="379"/>
      <c r="D22" s="34">
        <v>0</v>
      </c>
      <c r="E22" s="35">
        <v>0</v>
      </c>
      <c r="G22" s="380" t="s">
        <v>438</v>
      </c>
      <c r="H22" s="381"/>
      <c r="I22" s="382"/>
      <c r="J22" s="34">
        <v>0</v>
      </c>
      <c r="L22" s="380" t="s">
        <v>439</v>
      </c>
      <c r="M22" s="381"/>
      <c r="N22" s="382"/>
      <c r="O22" s="36">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0</v>
      </c>
    </row>
    <row r="23" spans="1:16" x14ac:dyDescent="0.2">
      <c r="A23" s="380" t="s">
        <v>440</v>
      </c>
      <c r="B23" s="381"/>
      <c r="C23" s="382"/>
      <c r="D23" s="34">
        <v>0</v>
      </c>
      <c r="E23" s="45">
        <v>0</v>
      </c>
      <c r="G23" s="383" t="s">
        <v>441</v>
      </c>
      <c r="H23" s="384"/>
      <c r="I23" s="382"/>
      <c r="J23" s="34">
        <v>0</v>
      </c>
    </row>
    <row r="24" spans="1:16" x14ac:dyDescent="0.2">
      <c r="A24" s="380" t="s">
        <v>442</v>
      </c>
      <c r="B24" s="381"/>
      <c r="C24" s="385"/>
      <c r="D24" s="34">
        <v>0</v>
      </c>
      <c r="E24" s="543">
        <v>0</v>
      </c>
      <c r="G24" s="579" t="s">
        <v>443</v>
      </c>
      <c r="H24" s="580"/>
      <c r="I24" s="382"/>
      <c r="J24" s="34">
        <v>0</v>
      </c>
      <c r="L24" s="371" t="s">
        <v>444</v>
      </c>
      <c r="M24" s="372"/>
      <c r="N24" s="372"/>
      <c r="O24" s="373"/>
    </row>
    <row r="25" spans="1:16" x14ac:dyDescent="0.2">
      <c r="A25" s="380" t="s">
        <v>445</v>
      </c>
      <c r="B25" s="381"/>
      <c r="C25" s="385"/>
      <c r="D25" s="34">
        <v>0</v>
      </c>
      <c r="E25" s="543">
        <v>0</v>
      </c>
      <c r="G25" s="579" t="s">
        <v>446</v>
      </c>
      <c r="H25" s="580"/>
      <c r="I25" s="382"/>
      <c r="J25" s="34">
        <v>0</v>
      </c>
      <c r="L25" s="387" t="s">
        <v>447</v>
      </c>
      <c r="M25" s="388"/>
      <c r="N25" s="385"/>
      <c r="O25" s="34">
        <v>0</v>
      </c>
    </row>
    <row r="26" spans="1:16" x14ac:dyDescent="0.2">
      <c r="A26" s="380" t="s">
        <v>448</v>
      </c>
      <c r="B26" s="381"/>
      <c r="C26" s="385"/>
      <c r="D26" s="34">
        <v>0</v>
      </c>
      <c r="E26" s="543">
        <v>0</v>
      </c>
      <c r="G26" s="579" t="s">
        <v>449</v>
      </c>
      <c r="H26" s="580"/>
      <c r="I26" s="382"/>
      <c r="J26" s="34">
        <v>0</v>
      </c>
      <c r="L26" s="387" t="s">
        <v>450</v>
      </c>
      <c r="M26" s="388"/>
      <c r="N26" s="385"/>
      <c r="O26" s="34">
        <v>0</v>
      </c>
    </row>
    <row r="27" spans="1:16" x14ac:dyDescent="0.2">
      <c r="A27" s="389" t="s">
        <v>451</v>
      </c>
      <c r="B27" s="390"/>
      <c r="C27" s="391"/>
      <c r="D27" s="34">
        <v>0</v>
      </c>
      <c r="E27" s="35">
        <v>0</v>
      </c>
      <c r="L27" s="387" t="s">
        <v>452</v>
      </c>
      <c r="M27" s="388"/>
      <c r="N27" s="385"/>
      <c r="O27" s="34">
        <v>0</v>
      </c>
    </row>
    <row r="28" spans="1:16" x14ac:dyDescent="0.2">
      <c r="A28" s="392" t="s">
        <v>453</v>
      </c>
      <c r="B28" s="393"/>
      <c r="C28" s="394"/>
      <c r="D28" s="37">
        <v>0</v>
      </c>
      <c r="E28" s="386">
        <f>D28</f>
        <v>0</v>
      </c>
      <c r="L28" s="321"/>
      <c r="M28" s="321"/>
      <c r="N28" s="321"/>
      <c r="O28" s="38"/>
    </row>
    <row r="29" spans="1:16" x14ac:dyDescent="0.2">
      <c r="A29" s="917"/>
      <c r="B29" s="917"/>
      <c r="C29" s="917"/>
      <c r="D29" s="395"/>
    </row>
    <row r="30" spans="1:16" ht="15" customHeight="1" x14ac:dyDescent="0.2">
      <c r="A30" s="330"/>
      <c r="B30" s="330"/>
      <c r="C30" s="330"/>
      <c r="D30" s="330"/>
      <c r="G30" s="371" t="s">
        <v>454</v>
      </c>
      <c r="H30" s="372"/>
      <c r="I30" s="372"/>
      <c r="J30" s="373"/>
      <c r="L30" s="941" t="str">
        <f>IF(OR(D19&lt;0,E19&lt;0,F19&lt;0,G19&lt;0,H19&lt;0,J19&lt;0,K19&lt;0,L19&lt;0,M19&lt;0,N19&lt;0),"Line 9 in the current expenses table should not contain negative amounts. Click the instruction link in cell A18 for more information.","")</f>
        <v/>
      </c>
      <c r="M30" s="941" t="str">
        <f t="shared" ref="M30:P32" si="2">IF(OR(E19&lt;0,F19&lt;0,G19&lt;0,H19&lt;0,I19&lt;0,K19&lt;0,L19&lt;0,M19&lt;0,N19&lt;0,O19&lt;0),"Table A, line 9 should not contain negative amounts. Click the the instruction link in cell A18 for more information.","")</f>
        <v/>
      </c>
      <c r="N30" s="941" t="str">
        <f t="shared" si="2"/>
        <v/>
      </c>
      <c r="O30" s="941" t="str">
        <f t="shared" si="2"/>
        <v/>
      </c>
      <c r="P30" s="941" t="str">
        <f t="shared" si="2"/>
        <v/>
      </c>
    </row>
    <row r="31" spans="1:16" ht="15" customHeight="1" x14ac:dyDescent="0.2">
      <c r="E31" s="396"/>
      <c r="G31" s="397" t="s">
        <v>455</v>
      </c>
      <c r="H31" s="381"/>
      <c r="I31" s="381"/>
      <c r="J31" s="398">
        <f>ROUND(SUMIFS('Accounting data'!G2:G65536,'Accounting data'!H2:H65536,"1310-1399-C*",'Accounting data'!K2:K65536,"685*"),0)</f>
        <v>0</v>
      </c>
      <c r="L31" s="941" t="str">
        <f>IF(OR(D20&lt;0,E20&lt;0,F20&lt;0,G20&lt;0,H20&lt;0,J20&lt;0,K20&lt;0,L20&lt;0,M20&lt;0,N20&lt;0),"Table A, line 9 should not contain negative amounts. Click the the instruction link in cell A18 for more information.","")</f>
        <v/>
      </c>
      <c r="M31" s="941" t="str">
        <f t="shared" si="2"/>
        <v/>
      </c>
      <c r="N31" s="941" t="str">
        <f t="shared" si="2"/>
        <v/>
      </c>
      <c r="O31" s="941" t="str">
        <f t="shared" si="2"/>
        <v/>
      </c>
      <c r="P31" s="941" t="str">
        <f t="shared" si="2"/>
        <v/>
      </c>
    </row>
    <row r="32" spans="1:16" ht="15" customHeight="1" x14ac:dyDescent="0.2">
      <c r="E32" s="352"/>
      <c r="G32" s="397" t="s">
        <v>456</v>
      </c>
      <c r="H32" s="381"/>
      <c r="I32" s="381"/>
      <c r="J32" s="34">
        <v>0</v>
      </c>
      <c r="L32" s="941" t="str">
        <f>IF(OR(D21&lt;0,E21&lt;0,F21&lt;0,G21&lt;0,H21&lt;0,J21&lt;0,K21&lt;0,L21&lt;0,M21&lt;0,N21&lt;0),"Table A, line 9 should not contain negative amounts. Click the the instruction link in cell A18 for more information.","")</f>
        <v/>
      </c>
      <c r="M32" s="941" t="str">
        <f t="shared" si="2"/>
        <v/>
      </c>
      <c r="N32" s="941" t="str">
        <f t="shared" si="2"/>
        <v/>
      </c>
      <c r="O32" s="941" t="str">
        <f t="shared" si="2"/>
        <v/>
      </c>
      <c r="P32" s="941" t="str">
        <f t="shared" si="2"/>
        <v/>
      </c>
    </row>
    <row r="33" spans="1:28" ht="12.75" customHeight="1" x14ac:dyDescent="0.2">
      <c r="E33" s="399"/>
      <c r="K33" s="400"/>
      <c r="L33" s="39"/>
      <c r="M33" s="39"/>
      <c r="N33" s="40"/>
      <c r="O33" s="39"/>
      <c r="AB33" s="327" t="s">
        <v>457</v>
      </c>
    </row>
    <row r="34" spans="1:28" ht="11.25" customHeight="1" x14ac:dyDescent="0.2">
      <c r="E34" s="401"/>
      <c r="G34" s="321"/>
      <c r="M34" s="402"/>
      <c r="N34" s="403"/>
      <c r="O34" s="403"/>
    </row>
    <row r="35" spans="1:28" ht="37.5" customHeight="1" x14ac:dyDescent="0.2">
      <c r="A35" s="921" t="s">
        <v>458</v>
      </c>
      <c r="B35" s="922"/>
      <c r="C35" s="923"/>
      <c r="D35" s="943" t="s">
        <v>459</v>
      </c>
      <c r="E35" s="945" t="s">
        <v>1322</v>
      </c>
      <c r="F35" s="945" t="s">
        <v>1323</v>
      </c>
      <c r="G35" s="943" t="s">
        <v>460</v>
      </c>
      <c r="J35" s="371" t="s">
        <v>461</v>
      </c>
      <c r="K35" s="57"/>
      <c r="L35" s="57"/>
      <c r="M35" s="57"/>
      <c r="N35" s="58"/>
      <c r="R35" s="320"/>
      <c r="V35" s="326"/>
    </row>
    <row r="36" spans="1:28" ht="25.5" customHeight="1" x14ac:dyDescent="0.2">
      <c r="A36" s="924"/>
      <c r="B36" s="834"/>
      <c r="C36" s="925"/>
      <c r="D36" s="944"/>
      <c r="E36" s="946"/>
      <c r="F36" s="946"/>
      <c r="G36" s="944"/>
      <c r="J36" s="926" t="s">
        <v>462</v>
      </c>
      <c r="K36" s="927"/>
      <c r="L36" s="927"/>
      <c r="M36" s="928"/>
      <c r="N36" s="408">
        <v>0</v>
      </c>
      <c r="Q36" s="41"/>
      <c r="R36" s="42"/>
      <c r="V36" s="326"/>
    </row>
    <row r="37" spans="1:28" ht="12.75" customHeight="1" x14ac:dyDescent="0.2">
      <c r="A37" s="43" t="s">
        <v>463</v>
      </c>
      <c r="B37" s="44"/>
      <c r="C37" s="44"/>
      <c r="D37" s="45">
        <v>50000</v>
      </c>
      <c r="E37" s="45">
        <v>50000</v>
      </c>
      <c r="F37" s="350"/>
      <c r="G37" s="350"/>
      <c r="J37" s="926" t="s">
        <v>464</v>
      </c>
      <c r="K37" s="927"/>
      <c r="L37" s="927"/>
      <c r="M37" s="928"/>
      <c r="N37" s="408">
        <v>0</v>
      </c>
      <c r="R37" s="320"/>
      <c r="V37" s="326"/>
    </row>
    <row r="38" spans="1:28" ht="12.75" customHeight="1" x14ac:dyDescent="0.2">
      <c r="A38" s="43" t="s">
        <v>465</v>
      </c>
      <c r="B38" s="44"/>
      <c r="C38" s="44"/>
      <c r="D38" s="45">
        <v>153754</v>
      </c>
      <c r="E38" s="45">
        <v>153754</v>
      </c>
      <c r="F38" s="45">
        <v>0</v>
      </c>
      <c r="G38" s="369">
        <f>ROUND(D38-E38-F38,0)</f>
        <v>0</v>
      </c>
      <c r="J38" s="926" t="s">
        <v>466</v>
      </c>
      <c r="K38" s="927"/>
      <c r="L38" s="927"/>
      <c r="M38" s="928"/>
      <c r="N38" s="408">
        <v>0</v>
      </c>
      <c r="R38" s="320"/>
      <c r="V38" s="326"/>
    </row>
    <row r="39" spans="1:28" ht="12.75" customHeight="1" x14ac:dyDescent="0.2">
      <c r="A39" s="43" t="s">
        <v>467</v>
      </c>
      <c r="B39" s="44"/>
      <c r="C39" s="44"/>
      <c r="D39" s="45">
        <v>202920</v>
      </c>
      <c r="E39" s="45">
        <v>202920</v>
      </c>
      <c r="F39" s="45">
        <v>0</v>
      </c>
      <c r="G39" s="369">
        <f>ROUND(D39-E39-F39,0)</f>
        <v>0</v>
      </c>
      <c r="J39" s="918" t="s">
        <v>468</v>
      </c>
      <c r="K39" s="919"/>
      <c r="L39" s="919"/>
      <c r="M39" s="920"/>
      <c r="N39" s="409">
        <v>0</v>
      </c>
      <c r="R39" s="320"/>
      <c r="V39" s="326"/>
    </row>
    <row r="40" spans="1:28" ht="12.75" customHeight="1" x14ac:dyDescent="0.2">
      <c r="A40" s="43" t="s">
        <v>469</v>
      </c>
      <c r="B40" s="44"/>
      <c r="C40" s="44"/>
      <c r="D40" s="45">
        <v>0</v>
      </c>
      <c r="E40" s="45">
        <v>0</v>
      </c>
      <c r="F40" s="45">
        <v>0</v>
      </c>
      <c r="G40" s="369">
        <f>ROUND(D40-E40-F40,0)</f>
        <v>0</v>
      </c>
      <c r="J40" s="918" t="s">
        <v>470</v>
      </c>
      <c r="K40" s="919"/>
      <c r="L40" s="919"/>
      <c r="M40" s="920"/>
      <c r="N40" s="410">
        <f>ROUND(N36-N37-N39,0)</f>
        <v>0</v>
      </c>
      <c r="R40" s="320"/>
      <c r="V40" s="326"/>
    </row>
    <row r="41" spans="1:28" ht="12.75" customHeight="1" x14ac:dyDescent="0.2">
      <c r="A41" s="43" t="s">
        <v>471</v>
      </c>
      <c r="B41" s="44"/>
      <c r="C41" s="44"/>
      <c r="D41" s="45">
        <v>165402</v>
      </c>
      <c r="E41" s="45">
        <v>165402</v>
      </c>
      <c r="F41" s="45">
        <v>0</v>
      </c>
      <c r="G41" s="369">
        <f>ROUND(D41-E41-F41,0)</f>
        <v>0</v>
      </c>
    </row>
    <row r="42" spans="1:28" ht="12.75" customHeight="1" x14ac:dyDescent="0.2">
      <c r="A42" s="46" t="s">
        <v>472</v>
      </c>
      <c r="B42" s="44"/>
      <c r="C42" s="44"/>
      <c r="D42" s="45">
        <v>166603</v>
      </c>
      <c r="E42" s="45">
        <v>166603</v>
      </c>
      <c r="F42" s="45">
        <v>0</v>
      </c>
      <c r="G42" s="369">
        <f>ROUND(D42-E42-F42,0)</f>
        <v>0</v>
      </c>
    </row>
    <row r="43" spans="1:28" ht="12.75" customHeight="1" x14ac:dyDescent="0.2">
      <c r="A43" s="909" t="s">
        <v>473</v>
      </c>
      <c r="B43" s="910"/>
      <c r="C43" s="911"/>
      <c r="D43" s="404">
        <f>ROUND(SUM(D37:D42),0)</f>
        <v>738679</v>
      </c>
      <c r="E43" s="404">
        <f>ROUND(SUM(E37:E42),0)</f>
        <v>738679</v>
      </c>
      <c r="F43" s="404">
        <f>ROUND(SUM(F37:F42),0)</f>
        <v>0</v>
      </c>
      <c r="G43" s="404">
        <f>ROUND(SUM(G37:G42),0)</f>
        <v>0</v>
      </c>
    </row>
    <row r="44" spans="1:28" x14ac:dyDescent="0.2">
      <c r="F44" s="405"/>
    </row>
    <row r="45" spans="1:28" x14ac:dyDescent="0.2">
      <c r="E45" s="686" t="s">
        <v>1362</v>
      </c>
      <c r="F45" s="47">
        <f>ROUND(N19+O22+O25+O26+O27+J31+J32,0)</f>
        <v>0</v>
      </c>
      <c r="H45" s="912" t="str">
        <f>IF(OR(G37&lt;0,G38&lt;0,G39&lt;0,G40&lt;0,G41&lt;0,G42&lt;0,G43&lt;0),"Column G should not contain negative amounts. Click the instruction link in cell G36 for more information.","")</f>
        <v/>
      </c>
      <c r="I45" s="913"/>
      <c r="J45" s="913"/>
      <c r="K45" s="913"/>
    </row>
    <row r="46" spans="1:28" ht="12.75" customHeight="1" x14ac:dyDescent="0.2">
      <c r="A46" s="406"/>
      <c r="B46" s="406"/>
      <c r="C46" s="407"/>
      <c r="F46" s="912" t="str">
        <f>IF(F45&lt;&gt;F43,"Total in cell F43 should agree to amount in cell F45","")</f>
        <v/>
      </c>
      <c r="G46" s="912"/>
      <c r="H46" s="913"/>
      <c r="I46" s="913"/>
      <c r="J46" s="913"/>
      <c r="K46" s="913"/>
    </row>
    <row r="47" spans="1:28" ht="12.75" customHeight="1" x14ac:dyDescent="0.2">
      <c r="A47" s="406"/>
      <c r="B47" s="406"/>
      <c r="C47" s="407"/>
      <c r="F47" s="912"/>
      <c r="G47" s="912"/>
      <c r="H47" s="913"/>
      <c r="I47" s="913"/>
      <c r="J47" s="913"/>
      <c r="K47" s="913"/>
    </row>
    <row r="48" spans="1:28" ht="12.75" customHeight="1" x14ac:dyDescent="0.2">
      <c r="A48" s="407"/>
      <c r="B48" s="407"/>
      <c r="C48" s="407"/>
      <c r="F48" s="912"/>
      <c r="G48" s="912"/>
      <c r="H48" s="913"/>
      <c r="I48" s="913"/>
      <c r="J48" s="913"/>
      <c r="K48" s="913"/>
    </row>
    <row r="49" spans="1:7" ht="12.75" customHeight="1" x14ac:dyDescent="0.2">
      <c r="A49" s="407"/>
      <c r="B49" s="407"/>
      <c r="C49" s="407"/>
      <c r="F49" s="912"/>
      <c r="G49" s="912"/>
    </row>
  </sheetData>
  <mergeCells count="22">
    <mergeCell ref="B1:E1"/>
    <mergeCell ref="H1:I1"/>
    <mergeCell ref="D35:D36"/>
    <mergeCell ref="E35:E36"/>
    <mergeCell ref="F35:F36"/>
    <mergeCell ref="G35:G36"/>
    <mergeCell ref="A5:A6"/>
    <mergeCell ref="D5:L5"/>
    <mergeCell ref="N5:N9"/>
    <mergeCell ref="A8:C9"/>
    <mergeCell ref="L30:P32"/>
    <mergeCell ref="A43:C43"/>
    <mergeCell ref="H45:K48"/>
    <mergeCell ref="F46:G49"/>
    <mergeCell ref="A21:C21"/>
    <mergeCell ref="A29:C29"/>
    <mergeCell ref="J40:M40"/>
    <mergeCell ref="A35:C36"/>
    <mergeCell ref="J36:M36"/>
    <mergeCell ref="J37:M37"/>
    <mergeCell ref="J38:M38"/>
    <mergeCell ref="J39:M39"/>
  </mergeCells>
  <conditionalFormatting sqref="B1:E1">
    <cfRule type="expression" dxfId="36" priority="42" stopIfTrue="1">
      <formula>B1=""</formula>
    </cfRule>
  </conditionalFormatting>
  <conditionalFormatting sqref="D22:D28">
    <cfRule type="expression" dxfId="35" priority="24" stopIfTrue="1">
      <formula>D22=""</formula>
    </cfRule>
  </conditionalFormatting>
  <conditionalFormatting sqref="D37:E42 F38:F42">
    <cfRule type="expression" dxfId="34" priority="5" stopIfTrue="1">
      <formula>D37=""</formula>
    </cfRule>
  </conditionalFormatting>
  <conditionalFormatting sqref="E22:E27">
    <cfRule type="expression" dxfId="33" priority="18" stopIfTrue="1">
      <formula>E22=""</formula>
    </cfRule>
  </conditionalFormatting>
  <conditionalFormatting sqref="G38:G42">
    <cfRule type="cellIs" dxfId="32" priority="8" stopIfTrue="1" operator="lessThan">
      <formula>0</formula>
    </cfRule>
  </conditionalFormatting>
  <conditionalFormatting sqref="H1:I1">
    <cfRule type="expression" dxfId="31" priority="41" stopIfTrue="1">
      <formula>H1=""</formula>
    </cfRule>
  </conditionalFormatting>
  <conditionalFormatting sqref="J22:J26">
    <cfRule type="expression" dxfId="30" priority="13" stopIfTrue="1">
      <formula>J22=""</formula>
    </cfRule>
  </conditionalFormatting>
  <conditionalFormatting sqref="J32">
    <cfRule type="expression" dxfId="29" priority="12" stopIfTrue="1">
      <formula>J32=""</formula>
    </cfRule>
  </conditionalFormatting>
  <conditionalFormatting sqref="L1">
    <cfRule type="expression" dxfId="28" priority="40" stopIfTrue="1">
      <formula>L1=""</formula>
    </cfRule>
  </conditionalFormatting>
  <conditionalFormatting sqref="L10:L18">
    <cfRule type="expression" dxfId="27" priority="31" stopIfTrue="1">
      <formula>L10=""</formula>
    </cfRule>
  </conditionalFormatting>
  <conditionalFormatting sqref="N36:N39">
    <cfRule type="expression" dxfId="26" priority="1" stopIfTrue="1">
      <formula>N36=""</formula>
    </cfRule>
  </conditionalFormatting>
  <conditionalFormatting sqref="O25:O27">
    <cfRule type="expression" dxfId="25"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B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B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B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B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B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B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B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B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B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B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B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B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B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B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B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B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B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B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B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B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B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B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B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B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B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B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B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B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B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B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B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B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B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B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B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B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B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B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B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B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B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B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B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B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B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B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B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B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B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B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B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B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B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B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B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B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B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B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B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B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B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B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B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B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B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B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B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B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B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B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B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B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B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B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B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B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B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B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B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B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B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B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B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B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B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B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B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B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B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B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B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B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B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B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B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B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B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B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B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B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B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B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B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B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B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B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B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B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B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B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B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B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B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B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B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B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B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B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B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B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B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B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B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B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B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B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B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B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B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B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B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B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BQH262168:BQH262170" xr:uid="{00000000-0002-0000-0B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B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B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B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B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B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B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B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B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B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B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B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B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B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B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B00-0000EE000000}">
      <formula1>0</formula1>
      <formula2>D39-E39-#REF!</formula2>
    </dataValidation>
  </dataValidations>
  <hyperlinks>
    <hyperlink ref="A18" location="Page10OtherLine" display="Other" xr:uid="{00000000-0004-0000-0B00-000000000000}"/>
    <hyperlink ref="A21:C21" location="Page10TechDetail" display="Technology related expenses from COVID-19 federal relief projects" xr:uid="{00000000-0004-0000-0B00-000001000000}"/>
    <hyperlink ref="A28" location="Page10TechDetailLine7" display="7. 6641-43 Software reported in library books, textbooks, or instructional aids " xr:uid="{00000000-0004-0000-0B00-000002000000}"/>
    <hyperlink ref="L8:L9" location="Page10PropertyDisbursement" display="Property" xr:uid="{00000000-0004-0000-0B00-000003000000}"/>
    <hyperlink ref="L24" location="Page10PropertyDisbursementDetail" display="Property disbursements from COVID-19 federal relief projects" xr:uid="{00000000-0004-0000-0B00-000004000000}"/>
    <hyperlink ref="G21" location="Page10PropertyDisbursementDetail" display="Property disbursement detail for COVID-19 federal relief projects" xr:uid="{00000000-0004-0000-0B00-000005000000}"/>
    <hyperlink ref="G30" location="Page10DebtServiceDetail" display="Debt service detail for COVID-19 federal relief projects" xr:uid="{00000000-0004-0000-0B00-000006000000}"/>
    <hyperlink ref="A37" location="Page10ProjectsLine1" display="1. Elementary and Secondary School Emergency Relief Funds (ESSER I)" xr:uid="{00000000-0004-0000-0B00-000007000000}"/>
    <hyperlink ref="A38" location="Page10ProjectsLine2" display="2. Elementary and Secondary School Emergency Relief Funds (ESSER II)" xr:uid="{00000000-0004-0000-0B00-000008000000}"/>
    <hyperlink ref="A39" location="Page10ProjectsLine3" display="3. Elementary and Secondary School Emergency Relief Funds (ESSER III)" xr:uid="{00000000-0004-0000-0B00-000009000000}"/>
    <hyperlink ref="A40" location="Page10ProjectsLine4" display="4. Governor’s Emergency Education Relief Funds (GEER) - includes Acceleration Academies Program" xr:uid="{00000000-0004-0000-0B00-00000A000000}"/>
    <hyperlink ref="A41" location="Page10ProjectsLine5" display="5. Coronavirus Relief Fund (CRF)—Enrollment Stability Grant (ESG) Program" xr:uid="{00000000-0004-0000-0B00-00000B000000}"/>
    <hyperlink ref="A42" location="Page10ProjectsLine6" display="6. Other COVID-19 Federal Relief Funds" xr:uid="{00000000-0004-0000-0B00-00000C000000}"/>
    <hyperlink ref="D35:D36" location="Page10TotalAward" display="Page10TotalAward" xr:uid="{00000000-0004-0000-0B00-00000D000000}"/>
    <hyperlink ref="E35:E36" location="Page10FY20to23Exp" display="Page10FY20to23Exp" xr:uid="{00000000-0004-0000-0B00-00000E000000}"/>
    <hyperlink ref="F35:F36" location="Page10FY24Exp" display="Page10FY24Exp" xr:uid="{00000000-0004-0000-0B00-00000F000000}"/>
    <hyperlink ref="G35:G36" location="Page10Remaining" display="Page10Remaining" xr:uid="{00000000-0004-0000-0B00-000010000000}"/>
    <hyperlink ref="J35" location="Page10PPP" display="Paycheck Protection Program" xr:uid="{00000000-0004-0000-0B00-000011000000}"/>
    <hyperlink ref="A35:C36" location="Page10projects" display="COVID-19 federal relief projects" xr:uid="{00000000-0004-0000-0B00-000012000000}"/>
    <hyperlink ref="A3" location="Page10General" display="Instruction" xr:uid="{7D5011D7-A502-4818-B3B3-FDB6D873E343}"/>
  </hyperlinks>
  <pageMargins left="0.7" right="0.7" top="0.75" bottom="0.75" header="0.3" footer="0.3"/>
  <pageSetup scale="48" orientation="landscape" r:id="rId1"/>
  <headerFooter>
    <oddFooter>&amp;LRev. 8/25 Arizona Department of Education and Auditor General&amp;CFY 2025</oddFooter>
  </headerFooter>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E6D5-AFE3-48F5-B3BF-0A798862096D}">
  <sheetPr>
    <pageSetUpPr fitToPage="1"/>
  </sheetPr>
  <dimension ref="A1:R43"/>
  <sheetViews>
    <sheetView showGridLines="0" workbookViewId="0">
      <selection sqref="A1:B1"/>
    </sheetView>
  </sheetViews>
  <sheetFormatPr defaultColWidth="9.33203125" defaultRowHeight="12.75" x14ac:dyDescent="0.2"/>
  <cols>
    <col min="1" max="1" width="2.6640625" bestFit="1" customWidth="1"/>
    <col min="2" max="2" width="21.33203125" customWidth="1"/>
    <col min="3" max="3" width="18.1640625" customWidth="1"/>
    <col min="4" max="4" width="18.33203125" customWidth="1"/>
    <col min="5" max="5" width="17.1640625" customWidth="1"/>
    <col min="6" max="7" width="15.83203125" customWidth="1"/>
    <col min="8" max="8" width="3.1640625" customWidth="1"/>
    <col min="9" max="9" width="3.6640625" bestFit="1" customWidth="1"/>
    <col min="10" max="10" width="12.33203125" customWidth="1"/>
    <col min="11" max="11" width="10.83203125" customWidth="1"/>
    <col min="12" max="12" width="11.33203125" customWidth="1"/>
    <col min="13" max="13" width="15.83203125" customWidth="1"/>
    <col min="14" max="14" width="3.6640625" customWidth="1"/>
    <col min="15" max="15" width="15.83203125" customWidth="1"/>
    <col min="16" max="16" width="3.6640625" bestFit="1" customWidth="1"/>
    <col min="17" max="17" width="9.33203125" customWidth="1"/>
  </cols>
  <sheetData>
    <row r="1" spans="1:18" x14ac:dyDescent="0.2">
      <c r="A1" s="805" t="s">
        <v>0</v>
      </c>
      <c r="B1" s="805"/>
      <c r="C1" s="813" t="str">
        <f>'Cover Page'!$D$1</f>
        <v>ASU Preparatory Academy- Polytechnic MS</v>
      </c>
      <c r="D1" s="813"/>
      <c r="G1" s="59" t="s">
        <v>1</v>
      </c>
      <c r="H1" s="59"/>
      <c r="I1" s="813" t="str">
        <f>'Cover Page'!$M$1</f>
        <v>Maricopa</v>
      </c>
      <c r="J1" s="813"/>
      <c r="K1" s="66"/>
      <c r="M1" s="952" t="s">
        <v>2</v>
      </c>
      <c r="N1" s="952"/>
      <c r="O1" s="2" t="str">
        <f>'Cover Page'!$R$1</f>
        <v>078251000</v>
      </c>
    </row>
    <row r="2" spans="1:18" ht="12.95" customHeight="1" x14ac:dyDescent="0.2">
      <c r="B2" s="654" t="s">
        <v>726</v>
      </c>
    </row>
    <row r="3" spans="1:18" ht="20.25" customHeight="1" x14ac:dyDescent="0.3">
      <c r="A3" s="949" t="s">
        <v>1209</v>
      </c>
      <c r="B3" s="949"/>
      <c r="C3" s="949"/>
      <c r="D3" s="949"/>
      <c r="E3" s="949"/>
      <c r="F3" s="949"/>
      <c r="G3" s="949"/>
      <c r="H3" s="949"/>
      <c r="I3" s="949"/>
      <c r="J3" s="949"/>
      <c r="K3" s="949"/>
      <c r="L3" s="949"/>
      <c r="M3" s="949"/>
      <c r="N3" s="949"/>
      <c r="O3" s="949"/>
      <c r="P3" s="949"/>
    </row>
    <row r="4" spans="1:18" ht="9" customHeight="1" x14ac:dyDescent="0.2">
      <c r="E4" t="s">
        <v>20</v>
      </c>
    </row>
    <row r="5" spans="1:18" x14ac:dyDescent="0.2">
      <c r="B5" s="611" t="s">
        <v>165</v>
      </c>
      <c r="E5" s="578" t="s">
        <v>23</v>
      </c>
      <c r="F5" s="4"/>
      <c r="J5" s="611" t="s">
        <v>89</v>
      </c>
      <c r="O5" s="578" t="s">
        <v>23</v>
      </c>
    </row>
    <row r="6" spans="1:18" x14ac:dyDescent="0.2">
      <c r="A6" s="63" t="s">
        <v>24</v>
      </c>
      <c r="B6" t="s">
        <v>194</v>
      </c>
      <c r="E6" s="102"/>
      <c r="F6" s="564" t="s">
        <v>24</v>
      </c>
      <c r="I6" s="63" t="s">
        <v>36</v>
      </c>
      <c r="J6" t="s">
        <v>1208</v>
      </c>
      <c r="N6" s="63"/>
      <c r="O6" s="102"/>
      <c r="P6" s="88" t="s">
        <v>36</v>
      </c>
    </row>
    <row r="7" spans="1:18" x14ac:dyDescent="0.2">
      <c r="A7" s="63" t="s">
        <v>26</v>
      </c>
      <c r="B7" t="s">
        <v>1207</v>
      </c>
      <c r="E7" s="102"/>
      <c r="F7" s="564" t="s">
        <v>26</v>
      </c>
      <c r="I7" s="63" t="s">
        <v>38</v>
      </c>
      <c r="J7" t="s">
        <v>1206</v>
      </c>
      <c r="N7" s="63"/>
      <c r="O7" s="102"/>
      <c r="P7" s="88" t="s">
        <v>38</v>
      </c>
    </row>
    <row r="8" spans="1:18" x14ac:dyDescent="0.2">
      <c r="A8" s="63" t="s">
        <v>28</v>
      </c>
      <c r="B8" t="s">
        <v>1205</v>
      </c>
      <c r="E8" s="102"/>
      <c r="F8" s="564" t="s">
        <v>28</v>
      </c>
      <c r="I8" s="63" t="s">
        <v>40</v>
      </c>
      <c r="J8" t="s">
        <v>1204</v>
      </c>
      <c r="N8" s="63"/>
      <c r="O8" s="102"/>
      <c r="P8" s="88" t="s">
        <v>40</v>
      </c>
    </row>
    <row r="9" spans="1:18" x14ac:dyDescent="0.2">
      <c r="A9" s="63" t="s">
        <v>31</v>
      </c>
      <c r="B9" t="s">
        <v>1203</v>
      </c>
      <c r="E9" s="85"/>
      <c r="F9" s="564"/>
      <c r="I9" s="63" t="s">
        <v>42</v>
      </c>
      <c r="J9" t="s">
        <v>1202</v>
      </c>
      <c r="N9" s="63"/>
      <c r="O9" s="102"/>
      <c r="P9" s="88" t="s">
        <v>42</v>
      </c>
    </row>
    <row r="10" spans="1:18" x14ac:dyDescent="0.2">
      <c r="A10" s="63"/>
      <c r="B10" t="s">
        <v>1201</v>
      </c>
      <c r="E10" s="633"/>
      <c r="F10" s="564" t="s">
        <v>31</v>
      </c>
      <c r="I10" s="63" t="s">
        <v>44</v>
      </c>
      <c r="J10" t="s">
        <v>1200</v>
      </c>
      <c r="N10" s="63"/>
      <c r="O10" s="102"/>
      <c r="P10" s="88" t="s">
        <v>44</v>
      </c>
      <c r="R10" s="26"/>
    </row>
    <row r="11" spans="1:18" x14ac:dyDescent="0.2">
      <c r="A11" s="63" t="s">
        <v>33</v>
      </c>
      <c r="B11" t="s">
        <v>1199</v>
      </c>
      <c r="E11" s="659"/>
      <c r="F11" s="88" t="s">
        <v>33</v>
      </c>
      <c r="I11" s="63" t="s">
        <v>45</v>
      </c>
      <c r="J11" t="s">
        <v>1198</v>
      </c>
      <c r="N11" s="63"/>
      <c r="O11" s="102"/>
      <c r="P11" s="88" t="s">
        <v>45</v>
      </c>
    </row>
    <row r="12" spans="1:18" ht="13.5" thickBot="1" x14ac:dyDescent="0.25">
      <c r="A12" s="63" t="s">
        <v>35</v>
      </c>
      <c r="B12" t="s">
        <v>1197</v>
      </c>
      <c r="E12" s="630">
        <f>SUM(E6:E11)</f>
        <v>0</v>
      </c>
      <c r="F12" s="88" t="s">
        <v>35</v>
      </c>
      <c r="I12" s="63" t="s">
        <v>47</v>
      </c>
      <c r="J12" t="s">
        <v>1196</v>
      </c>
      <c r="N12" s="63"/>
      <c r="O12" s="102"/>
      <c r="P12" s="88" t="s">
        <v>47</v>
      </c>
    </row>
    <row r="13" spans="1:18" ht="12.75" customHeight="1" thickTop="1" x14ac:dyDescent="0.2">
      <c r="I13" s="63" t="s">
        <v>49</v>
      </c>
      <c r="J13" t="s">
        <v>1195</v>
      </c>
      <c r="N13" s="63"/>
      <c r="O13" s="102"/>
      <c r="P13" s="88" t="s">
        <v>49</v>
      </c>
    </row>
    <row r="14" spans="1:18" x14ac:dyDescent="0.2">
      <c r="A14" s="611"/>
      <c r="B14" s="611" t="s">
        <v>1194</v>
      </c>
      <c r="C14" s="611"/>
      <c r="E14" s="632"/>
      <c r="F14" s="631"/>
      <c r="I14" s="63" t="s">
        <v>51</v>
      </c>
      <c r="J14" t="s">
        <v>1193</v>
      </c>
      <c r="N14" s="63"/>
      <c r="O14" s="102"/>
      <c r="P14" s="88" t="s">
        <v>51</v>
      </c>
    </row>
    <row r="15" spans="1:18" x14ac:dyDescent="0.2">
      <c r="E15" s="631"/>
      <c r="F15" s="631"/>
      <c r="I15" s="63" t="s">
        <v>53</v>
      </c>
      <c r="J15" t="s">
        <v>1192</v>
      </c>
      <c r="N15" s="63"/>
      <c r="O15" s="102"/>
      <c r="P15" s="88" t="s">
        <v>53</v>
      </c>
    </row>
    <row r="16" spans="1:18" ht="12.75" customHeight="1" x14ac:dyDescent="0.2">
      <c r="B16" s="234"/>
      <c r="C16" s="234"/>
      <c r="D16" s="953" t="s">
        <v>1191</v>
      </c>
      <c r="E16" s="955" t="s">
        <v>1190</v>
      </c>
      <c r="F16" s="953" t="s">
        <v>1189</v>
      </c>
      <c r="G16" s="953" t="s">
        <v>1188</v>
      </c>
      <c r="I16" s="63" t="s">
        <v>55</v>
      </c>
      <c r="J16" t="s">
        <v>1187</v>
      </c>
      <c r="N16" s="63"/>
      <c r="O16" s="102"/>
      <c r="P16" s="88" t="s">
        <v>55</v>
      </c>
    </row>
    <row r="17" spans="1:16" x14ac:dyDescent="0.2">
      <c r="A17" s="611"/>
      <c r="B17" s="611" t="s">
        <v>1186</v>
      </c>
      <c r="C17" s="611"/>
      <c r="D17" s="954"/>
      <c r="E17" s="956"/>
      <c r="F17" s="954"/>
      <c r="G17" s="954"/>
      <c r="I17" s="63" t="s">
        <v>57</v>
      </c>
      <c r="J17" t="s">
        <v>1185</v>
      </c>
      <c r="N17" s="63"/>
      <c r="O17" s="102"/>
      <c r="P17" s="88" t="s">
        <v>57</v>
      </c>
    </row>
    <row r="18" spans="1:16" x14ac:dyDescent="0.2">
      <c r="B18" s="628" t="s">
        <v>1184</v>
      </c>
      <c r="D18" s="85"/>
      <c r="E18" s="85"/>
      <c r="F18" s="85"/>
      <c r="G18" s="80"/>
      <c r="I18" s="63" t="s">
        <v>59</v>
      </c>
      <c r="J18" t="s">
        <v>1183</v>
      </c>
      <c r="N18" s="63"/>
      <c r="O18" s="102"/>
      <c r="P18" s="88" t="s">
        <v>59</v>
      </c>
    </row>
    <row r="19" spans="1:16" x14ac:dyDescent="0.2">
      <c r="B19" s="151" t="s">
        <v>1179</v>
      </c>
      <c r="D19" s="627"/>
      <c r="E19" s="627"/>
      <c r="F19" s="627"/>
      <c r="G19" s="627"/>
      <c r="I19" s="63" t="s">
        <v>61</v>
      </c>
      <c r="J19" t="s">
        <v>1182</v>
      </c>
      <c r="N19" s="63"/>
      <c r="O19" s="102"/>
      <c r="P19" s="88" t="s">
        <v>61</v>
      </c>
    </row>
    <row r="20" spans="1:16" ht="12.75" customHeight="1" thickBot="1" x14ac:dyDescent="0.25">
      <c r="B20" s="151" t="s">
        <v>1177</v>
      </c>
      <c r="D20" s="627"/>
      <c r="E20" s="627"/>
      <c r="F20" s="627"/>
      <c r="G20" s="627"/>
      <c r="I20" s="63" t="s">
        <v>63</v>
      </c>
      <c r="J20" t="s">
        <v>1181</v>
      </c>
      <c r="N20" s="63"/>
      <c r="O20" s="630">
        <f>SUM(O6:O19)</f>
        <v>0</v>
      </c>
      <c r="P20" s="88" t="s">
        <v>63</v>
      </c>
    </row>
    <row r="21" spans="1:16" ht="12.75" customHeight="1" thickTop="1" x14ac:dyDescent="0.2">
      <c r="B21" s="151" t="s">
        <v>1176</v>
      </c>
      <c r="D21" s="629"/>
      <c r="E21" s="629"/>
      <c r="F21" s="629"/>
      <c r="G21" s="629"/>
      <c r="N21" s="63"/>
    </row>
    <row r="22" spans="1:16" ht="12.75" customHeight="1" x14ac:dyDescent="0.2">
      <c r="B22" s="628" t="s">
        <v>1180</v>
      </c>
      <c r="D22" s="80"/>
      <c r="E22" s="80"/>
      <c r="F22" s="80"/>
      <c r="G22" s="80"/>
      <c r="I22" t="s">
        <v>20</v>
      </c>
      <c r="M22" s="676" t="s">
        <v>1324</v>
      </c>
      <c r="N22" s="678"/>
      <c r="O22" s="676" t="s">
        <v>1325</v>
      </c>
    </row>
    <row r="23" spans="1:16" ht="12.75" customHeight="1" x14ac:dyDescent="0.2">
      <c r="B23" s="151" t="s">
        <v>1179</v>
      </c>
      <c r="D23" s="627"/>
      <c r="E23" s="627"/>
      <c r="F23" s="627"/>
      <c r="G23" s="627"/>
      <c r="H23" s="624"/>
      <c r="J23" s="611" t="s">
        <v>1178</v>
      </c>
      <c r="K23" s="611"/>
      <c r="L23" s="7" t="s">
        <v>16</v>
      </c>
      <c r="M23" s="24"/>
      <c r="N23" s="7" t="s">
        <v>16</v>
      </c>
      <c r="O23" s="24"/>
    </row>
    <row r="24" spans="1:16" ht="12.75" customHeight="1" x14ac:dyDescent="0.2">
      <c r="B24" s="151" t="s">
        <v>1177</v>
      </c>
      <c r="D24" s="627"/>
      <c r="E24" s="627"/>
      <c r="F24" s="627"/>
      <c r="G24" s="627"/>
      <c r="H24" s="624"/>
      <c r="L24" s="7"/>
      <c r="M24" s="26"/>
      <c r="N24" s="7"/>
      <c r="O24" s="26"/>
    </row>
    <row r="25" spans="1:16" ht="12.75" customHeight="1" x14ac:dyDescent="0.2">
      <c r="B25" s="151" t="s">
        <v>1176</v>
      </c>
      <c r="D25" s="626"/>
      <c r="E25" s="626"/>
      <c r="F25" s="626"/>
      <c r="G25" s="626"/>
      <c r="H25" s="565"/>
      <c r="N25" s="7"/>
      <c r="O25" s="624"/>
    </row>
    <row r="26" spans="1:16" ht="12.75" customHeight="1" x14ac:dyDescent="0.2">
      <c r="B26" s="625"/>
      <c r="H26" s="565"/>
      <c r="N26" s="7"/>
      <c r="O26" s="624"/>
    </row>
    <row r="27" spans="1:16" ht="12.75" customHeight="1" x14ac:dyDescent="0.2">
      <c r="B27" s="151" t="s">
        <v>1175</v>
      </c>
      <c r="H27" s="565"/>
      <c r="N27" s="7"/>
      <c r="O27" s="624"/>
    </row>
    <row r="28" spans="1:16" ht="12.75" customHeight="1" x14ac:dyDescent="0.2">
      <c r="J28" s="611" t="s">
        <v>1174</v>
      </c>
      <c r="K28" s="611"/>
      <c r="L28" s="623"/>
      <c r="M28" s="611"/>
      <c r="N28" s="611"/>
    </row>
    <row r="29" spans="1:16" ht="12.75" customHeight="1" x14ac:dyDescent="0.2">
      <c r="A29" s="611"/>
      <c r="B29" s="611" t="s">
        <v>1173</v>
      </c>
      <c r="C29" s="611"/>
      <c r="D29" s="621" t="s">
        <v>1172</v>
      </c>
      <c r="E29" s="621" t="s">
        <v>1171</v>
      </c>
      <c r="F29" s="622" t="s">
        <v>298</v>
      </c>
      <c r="G29" s="621" t="s">
        <v>1170</v>
      </c>
      <c r="H29" s="603"/>
      <c r="J29" s="620" t="s">
        <v>1169</v>
      </c>
      <c r="K29" s="157"/>
      <c r="L29" s="69"/>
      <c r="M29" s="69"/>
      <c r="N29" s="69"/>
      <c r="O29" s="617"/>
      <c r="P29" s="70"/>
    </row>
    <row r="30" spans="1:16" ht="12.75" customHeight="1" x14ac:dyDescent="0.2">
      <c r="B30" t="s">
        <v>1168</v>
      </c>
      <c r="D30" s="615"/>
      <c r="E30" s="615"/>
      <c r="F30" s="615"/>
      <c r="G30" s="619"/>
      <c r="H30" s="618"/>
      <c r="J30" s="153" t="s">
        <v>1167</v>
      </c>
      <c r="K30" s="151"/>
      <c r="O30" s="617"/>
      <c r="P30" s="75"/>
    </row>
    <row r="31" spans="1:16" ht="12.75" customHeight="1" x14ac:dyDescent="0.2">
      <c r="B31" t="s">
        <v>1166</v>
      </c>
      <c r="D31" s="615"/>
      <c r="E31" s="615"/>
      <c r="F31" s="615"/>
      <c r="G31" s="619"/>
      <c r="H31" s="614"/>
      <c r="J31" s="153" t="s">
        <v>1165</v>
      </c>
      <c r="K31" s="151"/>
      <c r="O31" s="617"/>
      <c r="P31" s="75"/>
    </row>
    <row r="32" spans="1:16" ht="12.75" customHeight="1" x14ac:dyDescent="0.2">
      <c r="B32" t="s">
        <v>1164</v>
      </c>
      <c r="D32" s="615"/>
      <c r="E32" s="615"/>
      <c r="F32" s="615"/>
      <c r="G32" s="619"/>
      <c r="H32" s="614"/>
      <c r="J32" s="153" t="s">
        <v>1163</v>
      </c>
      <c r="K32" s="151"/>
      <c r="O32" s="617"/>
      <c r="P32" s="75"/>
    </row>
    <row r="33" spans="1:16" ht="12.75" customHeight="1" x14ac:dyDescent="0.2">
      <c r="B33" t="s">
        <v>1162</v>
      </c>
      <c r="D33" s="615"/>
      <c r="E33" s="615"/>
      <c r="F33" s="615"/>
      <c r="G33" s="615"/>
      <c r="H33" s="618"/>
      <c r="J33" s="153" t="s">
        <v>1161</v>
      </c>
      <c r="K33" s="151"/>
      <c r="O33" s="617"/>
      <c r="P33" s="75"/>
    </row>
    <row r="34" spans="1:16" ht="12.75" customHeight="1" x14ac:dyDescent="0.2">
      <c r="B34" t="s">
        <v>1160</v>
      </c>
      <c r="D34" s="615"/>
      <c r="E34" s="615"/>
      <c r="F34" s="615"/>
      <c r="G34" s="615"/>
      <c r="H34" s="614"/>
      <c r="J34" s="153" t="s">
        <v>1159</v>
      </c>
      <c r="K34" s="151"/>
      <c r="O34" s="616"/>
      <c r="P34" s="75"/>
    </row>
    <row r="35" spans="1:16" ht="12.75" customHeight="1" thickBot="1" x14ac:dyDescent="0.25">
      <c r="B35" t="s">
        <v>1158</v>
      </c>
      <c r="D35" s="615"/>
      <c r="E35" s="615"/>
      <c r="F35" s="615"/>
      <c r="G35" s="615"/>
      <c r="H35" s="614"/>
      <c r="J35" s="947" t="s">
        <v>1157</v>
      </c>
      <c r="K35" s="948"/>
      <c r="L35" s="948"/>
      <c r="M35" s="948"/>
      <c r="N35" s="613"/>
      <c r="O35" s="612">
        <f>SUM(O29:O34)</f>
        <v>0</v>
      </c>
      <c r="P35" s="75"/>
    </row>
    <row r="36" spans="1:16" ht="12.75" customHeight="1" thickTop="1" x14ac:dyDescent="0.2">
      <c r="J36" s="950" t="s">
        <v>1156</v>
      </c>
      <c r="K36" s="951"/>
      <c r="L36" s="951"/>
      <c r="M36" s="6"/>
      <c r="N36" s="6"/>
      <c r="O36" s="6"/>
      <c r="P36" s="82"/>
    </row>
    <row r="37" spans="1:16" ht="12.75" customHeight="1" x14ac:dyDescent="0.2">
      <c r="A37" s="611"/>
      <c r="B37" s="611" t="s">
        <v>1155</v>
      </c>
      <c r="C37" s="611"/>
    </row>
    <row r="38" spans="1:16" ht="12.75" customHeight="1" x14ac:dyDescent="0.2">
      <c r="B38" t="s">
        <v>1154</v>
      </c>
      <c r="E38" s="609"/>
    </row>
    <row r="39" spans="1:16" ht="12.75" customHeight="1" x14ac:dyDescent="0.2">
      <c r="E39" s="7"/>
      <c r="F39" s="7"/>
      <c r="O39" s="26"/>
    </row>
    <row r="40" spans="1:16" ht="12.75" customHeight="1" x14ac:dyDescent="0.2">
      <c r="A40" s="611"/>
      <c r="B40" s="611" t="s">
        <v>1153</v>
      </c>
      <c r="C40" s="611"/>
      <c r="D40" s="611"/>
      <c r="E40" s="611"/>
      <c r="F40" s="7" t="s">
        <v>16</v>
      </c>
      <c r="G40" s="610"/>
      <c r="I40" s="303"/>
      <c r="N40" s="7"/>
    </row>
    <row r="41" spans="1:16" ht="12.75" customHeight="1" x14ac:dyDescent="0.2">
      <c r="B41" t="s">
        <v>1152</v>
      </c>
      <c r="C41" s="8"/>
      <c r="D41" s="8"/>
      <c r="H41" s="172"/>
    </row>
    <row r="42" spans="1:16" ht="12.75" customHeight="1" x14ac:dyDescent="0.2"/>
    <row r="43" spans="1:16" ht="12.75" customHeight="1" x14ac:dyDescent="0.2">
      <c r="B43" t="s">
        <v>1151</v>
      </c>
    </row>
  </sheetData>
  <sheetProtection formatCells="0" formatColumns="0" formatRows="0"/>
  <mergeCells count="11">
    <mergeCell ref="J35:M35"/>
    <mergeCell ref="A3:P3"/>
    <mergeCell ref="A1:B1"/>
    <mergeCell ref="J36:L36"/>
    <mergeCell ref="I1:J1"/>
    <mergeCell ref="M1:N1"/>
    <mergeCell ref="C1:D1"/>
    <mergeCell ref="D16:D17"/>
    <mergeCell ref="E16:E17"/>
    <mergeCell ref="F16:F17"/>
    <mergeCell ref="G16:G17"/>
  </mergeCells>
  <conditionalFormatting sqref="J35:O35">
    <cfRule type="expression" dxfId="24" priority="1" stopIfTrue="1">
      <formula>$O$10&lt;&gt;$O$35</formula>
    </cfRule>
  </conditionalFormatting>
  <dataValidations count="1">
    <dataValidation operator="equal" allowBlank="1" showInputMessage="1" showErrorMessage="1" prompt="This cell will only accept entries equal to 9 digits. Charter schools must enter their CTD number plus 3 zeros" sqref="O1" xr:uid="{00000000-0002-0000-0000-000000000000}"/>
  </dataValidations>
  <hyperlinks>
    <hyperlink ref="B5" location="REVENUES" display="REVENUES" xr:uid="{9FE5F3C6-38E8-4836-B4D3-ADB1A1B76A37}"/>
    <hyperlink ref="B14:C14" location="SectionA" display="A.  Number of Operating Months" xr:uid="{1002D2A8-1A64-4FA5-8D76-90D94A050FAD}"/>
    <hyperlink ref="B17:C17" location="SectionB" display="B.  Number of Meals Served" xr:uid="{EEE46FEF-D8B9-48B3-9322-12D7CD22C59F}"/>
    <hyperlink ref="B29" location="SectionC" display="C.  Meal Prices" xr:uid="{ED07D071-0BB2-4E80-AC7A-9C22DE21DCE5}"/>
    <hyperlink ref="B37:C37" location="SectionD" display="D.  Special Milk Program" xr:uid="{57F5E729-F18F-49D4-B579-AE0C742856BA}"/>
    <hyperlink ref="B40:E40" location="SectionE" display="E.  State Equalization Assistance expended for Food Service, Function 3100" xr:uid="{19747CDD-FDC6-4ADC-98FA-C629AECE941A}"/>
    <hyperlink ref="D16:D17" location="Breakfasts" display="BREAKFASTS" xr:uid="{C0785B22-B826-47CE-9BC1-0D4F5A4BE837}"/>
    <hyperlink ref="E16:E17" location="LunchesSuppers" display="LUNCHES/ SUPPERS" xr:uid="{40B9F3AC-6CC4-4864-BF0D-58D8C7C0D26E}"/>
    <hyperlink ref="F16:F17" location="ALaCarte" display="A LA CARTE*" xr:uid="{564FC274-9177-4016-85EB-2F21CFDEED69}"/>
    <hyperlink ref="G16:G17" location="Snacks" display="SNACKS" xr:uid="{A37C040B-8A20-4DE8-AB07-6DAA0AF9F285}"/>
    <hyperlink ref="J5" location="EXPENSES" display="EXPENSES" xr:uid="{95BA9320-AF5E-45BE-80BB-264A9788DA3F}"/>
    <hyperlink ref="J23:K23" location="SectionF" display="F.  Cash Balances" xr:uid="{CD53EA32-9EF2-4F34-ABC1-707CF9FA9974}"/>
    <hyperlink ref="J28:N28" location="SectionG" display="G.  Detail of Food Service Management Company Expenses" xr:uid="{EAF89C95-88C8-4A80-92D8-DA9D45367944}"/>
    <hyperlink ref="B2" location="FoodServiceGen" display="Instructions" xr:uid="{6BB77C67-BA6E-4B2D-AC01-D12A5A0BDC9D}"/>
  </hyperlinks>
  <pageMargins left="0.7" right="0.7" top="0.75" bottom="0.75" header="0.3" footer="0.3"/>
  <pageSetup scale="74" orientation="landscape" r:id="rId1"/>
  <headerFooter>
    <oddFooter>&amp;LRev. 8/25 Arizona Department of Education and Auditor General&amp;CFY 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N23"/>
  <sheetViews>
    <sheetView showGridLines="0" workbookViewId="0">
      <selection activeCell="K17" sqref="K17"/>
    </sheetView>
  </sheetViews>
  <sheetFormatPr defaultColWidth="9.33203125" defaultRowHeight="12.75" x14ac:dyDescent="0.2"/>
  <cols>
    <col min="1" max="1" width="38.1640625" style="412" customWidth="1"/>
    <col min="2" max="3" width="16.33203125" style="412" customWidth="1"/>
    <col min="4" max="4" width="15.1640625" style="412" customWidth="1"/>
    <col min="5" max="5" width="15.6640625" style="412" customWidth="1"/>
    <col min="6" max="6" width="15.1640625" style="412" customWidth="1"/>
    <col min="7" max="7" width="16.33203125" style="412" customWidth="1"/>
    <col min="8" max="8" width="19.33203125" style="412" customWidth="1"/>
    <col min="9" max="10" width="15.6640625" style="412" customWidth="1"/>
    <col min="11" max="11" width="17" style="412" customWidth="1"/>
    <col min="12" max="12" width="8.83203125" style="412" customWidth="1"/>
    <col min="13" max="13" width="5.33203125" style="412" customWidth="1"/>
    <col min="14" max="14" width="12.33203125" style="412" customWidth="1"/>
    <col min="15" max="255" width="8.83203125" style="412" customWidth="1"/>
    <col min="256" max="256" width="32.33203125" style="412" bestFit="1" customWidth="1"/>
    <col min="257" max="257" width="22.1640625" style="412" customWidth="1"/>
    <col min="258" max="258" width="14.33203125" style="412" customWidth="1"/>
    <col min="259" max="259" width="19" style="412" customWidth="1"/>
    <col min="260" max="260" width="8.83203125" style="412" customWidth="1"/>
    <col min="261" max="261" width="11.33203125" style="412" customWidth="1"/>
    <col min="262" max="262" width="8.83203125" style="412" customWidth="1"/>
    <col min="263" max="263" width="6.33203125" style="412" customWidth="1"/>
    <col min="264" max="264" width="14.33203125" style="412" customWidth="1"/>
    <col min="265" max="268" width="8.83203125" style="412" customWidth="1"/>
    <col min="269" max="269" width="17.83203125" style="412" customWidth="1"/>
    <col min="270" max="511" width="8.83203125" style="412" customWidth="1"/>
    <col min="512" max="512" width="32.33203125" style="412" bestFit="1" customWidth="1"/>
    <col min="513" max="513" width="22.1640625" style="412" customWidth="1"/>
    <col min="514" max="514" width="14.33203125" style="412" customWidth="1"/>
    <col min="515" max="515" width="19" style="412" customWidth="1"/>
    <col min="516" max="516" width="8.83203125" style="412" customWidth="1"/>
    <col min="517" max="517" width="11.33203125" style="412" customWidth="1"/>
    <col min="518" max="518" width="8.83203125" style="412" customWidth="1"/>
    <col min="519" max="519" width="6.33203125" style="412" customWidth="1"/>
    <col min="520" max="520" width="14.33203125" style="412" customWidth="1"/>
    <col min="521" max="524" width="8.83203125" style="412" customWidth="1"/>
    <col min="525" max="525" width="17.83203125" style="412" customWidth="1"/>
    <col min="526" max="767" width="8.83203125" style="412" customWidth="1"/>
    <col min="768" max="768" width="32.33203125" style="412" bestFit="1" customWidth="1"/>
    <col min="769" max="769" width="22.1640625" style="412" customWidth="1"/>
    <col min="770" max="770" width="14.33203125" style="412" customWidth="1"/>
    <col min="771" max="771" width="19" style="412" customWidth="1"/>
    <col min="772" max="772" width="8.83203125" style="412" customWidth="1"/>
    <col min="773" max="773" width="11.33203125" style="412" customWidth="1"/>
    <col min="774" max="774" width="8.83203125" style="412" customWidth="1"/>
    <col min="775" max="775" width="6.33203125" style="412" customWidth="1"/>
    <col min="776" max="776" width="14.33203125" style="412" customWidth="1"/>
    <col min="777" max="780" width="8.83203125" style="412" customWidth="1"/>
    <col min="781" max="781" width="17.83203125" style="412" customWidth="1"/>
    <col min="782" max="1023" width="8.83203125" style="412" customWidth="1"/>
    <col min="1024" max="1024" width="32.33203125" style="412" bestFit="1" customWidth="1"/>
    <col min="1025" max="1025" width="22.1640625" style="412" customWidth="1"/>
    <col min="1026" max="1026" width="14.33203125" style="412" customWidth="1"/>
    <col min="1027" max="1027" width="19" style="412" customWidth="1"/>
    <col min="1028" max="1028" width="8.83203125" style="412" customWidth="1"/>
    <col min="1029" max="1029" width="11.33203125" style="412" customWidth="1"/>
    <col min="1030" max="1030" width="8.83203125" style="412" customWidth="1"/>
    <col min="1031" max="1031" width="6.33203125" style="412" customWidth="1"/>
    <col min="1032" max="1032" width="14.33203125" style="412" customWidth="1"/>
    <col min="1033" max="1036" width="8.83203125" style="412" customWidth="1"/>
    <col min="1037" max="1037" width="17.83203125" style="412" customWidth="1"/>
    <col min="1038" max="1279" width="8.83203125" style="412" customWidth="1"/>
    <col min="1280" max="1280" width="32.33203125" style="412" bestFit="1" customWidth="1"/>
    <col min="1281" max="1281" width="22.1640625" style="412" customWidth="1"/>
    <col min="1282" max="1282" width="14.33203125" style="412" customWidth="1"/>
    <col min="1283" max="1283" width="19" style="412" customWidth="1"/>
    <col min="1284" max="1284" width="8.83203125" style="412" customWidth="1"/>
    <col min="1285" max="1285" width="11.33203125" style="412" customWidth="1"/>
    <col min="1286" max="1286" width="8.83203125" style="412" customWidth="1"/>
    <col min="1287" max="1287" width="6.33203125" style="412" customWidth="1"/>
    <col min="1288" max="1288" width="14.33203125" style="412" customWidth="1"/>
    <col min="1289" max="1292" width="8.83203125" style="412" customWidth="1"/>
    <col min="1293" max="1293" width="17.83203125" style="412" customWidth="1"/>
    <col min="1294" max="1535" width="8.83203125" style="412" customWidth="1"/>
    <col min="1536" max="1536" width="32.33203125" style="412" bestFit="1" customWidth="1"/>
    <col min="1537" max="1537" width="22.1640625" style="412" customWidth="1"/>
    <col min="1538" max="1538" width="14.33203125" style="412" customWidth="1"/>
    <col min="1539" max="1539" width="19" style="412" customWidth="1"/>
    <col min="1540" max="1540" width="8.83203125" style="412" customWidth="1"/>
    <col min="1541" max="1541" width="11.33203125" style="412" customWidth="1"/>
    <col min="1542" max="1542" width="8.83203125" style="412" customWidth="1"/>
    <col min="1543" max="1543" width="6.33203125" style="412" customWidth="1"/>
    <col min="1544" max="1544" width="14.33203125" style="412" customWidth="1"/>
    <col min="1545" max="1548" width="8.83203125" style="412" customWidth="1"/>
    <col min="1549" max="1549" width="17.83203125" style="412" customWidth="1"/>
    <col min="1550" max="1791" width="8.83203125" style="412" customWidth="1"/>
    <col min="1792" max="1792" width="32.33203125" style="412" bestFit="1" customWidth="1"/>
    <col min="1793" max="1793" width="22.1640625" style="412" customWidth="1"/>
    <col min="1794" max="1794" width="14.33203125" style="412" customWidth="1"/>
    <col min="1795" max="1795" width="19" style="412" customWidth="1"/>
    <col min="1796" max="1796" width="8.83203125" style="412" customWidth="1"/>
    <col min="1797" max="1797" width="11.33203125" style="412" customWidth="1"/>
    <col min="1798" max="1798" width="8.83203125" style="412" customWidth="1"/>
    <col min="1799" max="1799" width="6.33203125" style="412" customWidth="1"/>
    <col min="1800" max="1800" width="14.33203125" style="412" customWidth="1"/>
    <col min="1801" max="1804" width="8.83203125" style="412" customWidth="1"/>
    <col min="1805" max="1805" width="17.83203125" style="412" customWidth="1"/>
    <col min="1806" max="2047" width="8.83203125" style="412" customWidth="1"/>
    <col min="2048" max="2048" width="32.33203125" style="412" bestFit="1" customWidth="1"/>
    <col min="2049" max="2049" width="22.1640625" style="412" customWidth="1"/>
    <col min="2050" max="2050" width="14.33203125" style="412" customWidth="1"/>
    <col min="2051" max="2051" width="19" style="412" customWidth="1"/>
    <col min="2052" max="2052" width="8.83203125" style="412" customWidth="1"/>
    <col min="2053" max="2053" width="11.33203125" style="412" customWidth="1"/>
    <col min="2054" max="2054" width="8.83203125" style="412" customWidth="1"/>
    <col min="2055" max="2055" width="6.33203125" style="412" customWidth="1"/>
    <col min="2056" max="2056" width="14.33203125" style="412" customWidth="1"/>
    <col min="2057" max="2060" width="8.83203125" style="412" customWidth="1"/>
    <col min="2061" max="2061" width="17.83203125" style="412" customWidth="1"/>
    <col min="2062" max="2303" width="8.83203125" style="412" customWidth="1"/>
    <col min="2304" max="2304" width="32.33203125" style="412" bestFit="1" customWidth="1"/>
    <col min="2305" max="2305" width="22.1640625" style="412" customWidth="1"/>
    <col min="2306" max="2306" width="14.33203125" style="412" customWidth="1"/>
    <col min="2307" max="2307" width="19" style="412" customWidth="1"/>
    <col min="2308" max="2308" width="8.83203125" style="412" customWidth="1"/>
    <col min="2309" max="2309" width="11.33203125" style="412" customWidth="1"/>
    <col min="2310" max="2310" width="8.83203125" style="412" customWidth="1"/>
    <col min="2311" max="2311" width="6.33203125" style="412" customWidth="1"/>
    <col min="2312" max="2312" width="14.33203125" style="412" customWidth="1"/>
    <col min="2313" max="2316" width="8.83203125" style="412" customWidth="1"/>
    <col min="2317" max="2317" width="17.83203125" style="412" customWidth="1"/>
    <col min="2318" max="2559" width="8.83203125" style="412" customWidth="1"/>
    <col min="2560" max="2560" width="32.33203125" style="412" bestFit="1" customWidth="1"/>
    <col min="2561" max="2561" width="22.1640625" style="412" customWidth="1"/>
    <col min="2562" max="2562" width="14.33203125" style="412" customWidth="1"/>
    <col min="2563" max="2563" width="19" style="412" customWidth="1"/>
    <col min="2564" max="2564" width="8.83203125" style="412" customWidth="1"/>
    <col min="2565" max="2565" width="11.33203125" style="412" customWidth="1"/>
    <col min="2566" max="2566" width="8.83203125" style="412" customWidth="1"/>
    <col min="2567" max="2567" width="6.33203125" style="412" customWidth="1"/>
    <col min="2568" max="2568" width="14.33203125" style="412" customWidth="1"/>
    <col min="2569" max="2572" width="8.83203125" style="412" customWidth="1"/>
    <col min="2573" max="2573" width="17.83203125" style="412" customWidth="1"/>
    <col min="2574" max="2815" width="8.83203125" style="412" customWidth="1"/>
    <col min="2816" max="2816" width="32.33203125" style="412" bestFit="1" customWidth="1"/>
    <col min="2817" max="2817" width="22.1640625" style="412" customWidth="1"/>
    <col min="2818" max="2818" width="14.33203125" style="412" customWidth="1"/>
    <col min="2819" max="2819" width="19" style="412" customWidth="1"/>
    <col min="2820" max="2820" width="8.83203125" style="412" customWidth="1"/>
    <col min="2821" max="2821" width="11.33203125" style="412" customWidth="1"/>
    <col min="2822" max="2822" width="8.83203125" style="412" customWidth="1"/>
    <col min="2823" max="2823" width="6.33203125" style="412" customWidth="1"/>
    <col min="2824" max="2824" width="14.33203125" style="412" customWidth="1"/>
    <col min="2825" max="2828" width="8.83203125" style="412" customWidth="1"/>
    <col min="2829" max="2829" width="17.83203125" style="412" customWidth="1"/>
    <col min="2830" max="3071" width="8.83203125" style="412" customWidth="1"/>
    <col min="3072" max="3072" width="32.33203125" style="412" bestFit="1" customWidth="1"/>
    <col min="3073" max="3073" width="22.1640625" style="412" customWidth="1"/>
    <col min="3074" max="3074" width="14.33203125" style="412" customWidth="1"/>
    <col min="3075" max="3075" width="19" style="412" customWidth="1"/>
    <col min="3076" max="3076" width="8.83203125" style="412" customWidth="1"/>
    <col min="3077" max="3077" width="11.33203125" style="412" customWidth="1"/>
    <col min="3078" max="3078" width="8.83203125" style="412" customWidth="1"/>
    <col min="3079" max="3079" width="6.33203125" style="412" customWidth="1"/>
    <col min="3080" max="3080" width="14.33203125" style="412" customWidth="1"/>
    <col min="3081" max="3084" width="8.83203125" style="412" customWidth="1"/>
    <col min="3085" max="3085" width="17.83203125" style="412" customWidth="1"/>
    <col min="3086" max="3327" width="8.83203125" style="412" customWidth="1"/>
    <col min="3328" max="3328" width="32.33203125" style="412" bestFit="1" customWidth="1"/>
    <col min="3329" max="3329" width="22.1640625" style="412" customWidth="1"/>
    <col min="3330" max="3330" width="14.33203125" style="412" customWidth="1"/>
    <col min="3331" max="3331" width="19" style="412" customWidth="1"/>
    <col min="3332" max="3332" width="8.83203125" style="412" customWidth="1"/>
    <col min="3333" max="3333" width="11.33203125" style="412" customWidth="1"/>
    <col min="3334" max="3334" width="8.83203125" style="412" customWidth="1"/>
    <col min="3335" max="3335" width="6.33203125" style="412" customWidth="1"/>
    <col min="3336" max="3336" width="14.33203125" style="412" customWidth="1"/>
    <col min="3337" max="3340" width="8.83203125" style="412" customWidth="1"/>
    <col min="3341" max="3341" width="17.83203125" style="412" customWidth="1"/>
    <col min="3342" max="3583" width="8.83203125" style="412" customWidth="1"/>
    <col min="3584" max="3584" width="32.33203125" style="412" bestFit="1" customWidth="1"/>
    <col min="3585" max="3585" width="22.1640625" style="412" customWidth="1"/>
    <col min="3586" max="3586" width="14.33203125" style="412" customWidth="1"/>
    <col min="3587" max="3587" width="19" style="412" customWidth="1"/>
    <col min="3588" max="3588" width="8.83203125" style="412" customWidth="1"/>
    <col min="3589" max="3589" width="11.33203125" style="412" customWidth="1"/>
    <col min="3590" max="3590" width="8.83203125" style="412" customWidth="1"/>
    <col min="3591" max="3591" width="6.33203125" style="412" customWidth="1"/>
    <col min="3592" max="3592" width="14.33203125" style="412" customWidth="1"/>
    <col min="3593" max="3596" width="8.83203125" style="412" customWidth="1"/>
    <col min="3597" max="3597" width="17.83203125" style="412" customWidth="1"/>
    <col min="3598" max="3839" width="8.83203125" style="412" customWidth="1"/>
    <col min="3840" max="3840" width="32.33203125" style="412" bestFit="1" customWidth="1"/>
    <col min="3841" max="3841" width="22.1640625" style="412" customWidth="1"/>
    <col min="3842" max="3842" width="14.33203125" style="412" customWidth="1"/>
    <col min="3843" max="3843" width="19" style="412" customWidth="1"/>
    <col min="3844" max="3844" width="8.83203125" style="412" customWidth="1"/>
    <col min="3845" max="3845" width="11.33203125" style="412" customWidth="1"/>
    <col min="3846" max="3846" width="8.83203125" style="412" customWidth="1"/>
    <col min="3847" max="3847" width="6.33203125" style="412" customWidth="1"/>
    <col min="3848" max="3848" width="14.33203125" style="412" customWidth="1"/>
    <col min="3849" max="3852" width="8.83203125" style="412" customWidth="1"/>
    <col min="3853" max="3853" width="17.83203125" style="412" customWidth="1"/>
    <col min="3854" max="4095" width="8.83203125" style="412" customWidth="1"/>
    <col min="4096" max="4096" width="32.33203125" style="412" bestFit="1" customWidth="1"/>
    <col min="4097" max="4097" width="22.1640625" style="412" customWidth="1"/>
    <col min="4098" max="4098" width="14.33203125" style="412" customWidth="1"/>
    <col min="4099" max="4099" width="19" style="412" customWidth="1"/>
    <col min="4100" max="4100" width="8.83203125" style="412" customWidth="1"/>
    <col min="4101" max="4101" width="11.33203125" style="412" customWidth="1"/>
    <col min="4102" max="4102" width="8.83203125" style="412" customWidth="1"/>
    <col min="4103" max="4103" width="6.33203125" style="412" customWidth="1"/>
    <col min="4104" max="4104" width="14.33203125" style="412" customWidth="1"/>
    <col min="4105" max="4108" width="8.83203125" style="412" customWidth="1"/>
    <col min="4109" max="4109" width="17.83203125" style="412" customWidth="1"/>
    <col min="4110" max="4351" width="8.83203125" style="412" customWidth="1"/>
    <col min="4352" max="4352" width="32.33203125" style="412" bestFit="1" customWidth="1"/>
    <col min="4353" max="4353" width="22.1640625" style="412" customWidth="1"/>
    <col min="4354" max="4354" width="14.33203125" style="412" customWidth="1"/>
    <col min="4355" max="4355" width="19" style="412" customWidth="1"/>
    <col min="4356" max="4356" width="8.83203125" style="412" customWidth="1"/>
    <col min="4357" max="4357" width="11.33203125" style="412" customWidth="1"/>
    <col min="4358" max="4358" width="8.83203125" style="412" customWidth="1"/>
    <col min="4359" max="4359" width="6.33203125" style="412" customWidth="1"/>
    <col min="4360" max="4360" width="14.33203125" style="412" customWidth="1"/>
    <col min="4361" max="4364" width="8.83203125" style="412" customWidth="1"/>
    <col min="4365" max="4365" width="17.83203125" style="412" customWidth="1"/>
    <col min="4366" max="4607" width="8.83203125" style="412" customWidth="1"/>
    <col min="4608" max="4608" width="32.33203125" style="412" bestFit="1" customWidth="1"/>
    <col min="4609" max="4609" width="22.1640625" style="412" customWidth="1"/>
    <col min="4610" max="4610" width="14.33203125" style="412" customWidth="1"/>
    <col min="4611" max="4611" width="19" style="412" customWidth="1"/>
    <col min="4612" max="4612" width="8.83203125" style="412" customWidth="1"/>
    <col min="4613" max="4613" width="11.33203125" style="412" customWidth="1"/>
    <col min="4614" max="4614" width="8.83203125" style="412" customWidth="1"/>
    <col min="4615" max="4615" width="6.33203125" style="412" customWidth="1"/>
    <col min="4616" max="4616" width="14.33203125" style="412" customWidth="1"/>
    <col min="4617" max="4620" width="8.83203125" style="412" customWidth="1"/>
    <col min="4621" max="4621" width="17.83203125" style="412" customWidth="1"/>
    <col min="4622" max="4863" width="8.83203125" style="412" customWidth="1"/>
    <col min="4864" max="4864" width="32.33203125" style="412" bestFit="1" customWidth="1"/>
    <col min="4865" max="4865" width="22.1640625" style="412" customWidth="1"/>
    <col min="4866" max="4866" width="14.33203125" style="412" customWidth="1"/>
    <col min="4867" max="4867" width="19" style="412" customWidth="1"/>
    <col min="4868" max="4868" width="8.83203125" style="412" customWidth="1"/>
    <col min="4869" max="4869" width="11.33203125" style="412" customWidth="1"/>
    <col min="4870" max="4870" width="8.83203125" style="412" customWidth="1"/>
    <col min="4871" max="4871" width="6.33203125" style="412" customWidth="1"/>
    <col min="4872" max="4872" width="14.33203125" style="412" customWidth="1"/>
    <col min="4873" max="4876" width="8.83203125" style="412" customWidth="1"/>
    <col min="4877" max="4877" width="17.83203125" style="412" customWidth="1"/>
    <col min="4878" max="5119" width="8.83203125" style="412" customWidth="1"/>
    <col min="5120" max="5120" width="32.33203125" style="412" bestFit="1" customWidth="1"/>
    <col min="5121" max="5121" width="22.1640625" style="412" customWidth="1"/>
    <col min="5122" max="5122" width="14.33203125" style="412" customWidth="1"/>
    <col min="5123" max="5123" width="19" style="412" customWidth="1"/>
    <col min="5124" max="5124" width="8.83203125" style="412" customWidth="1"/>
    <col min="5125" max="5125" width="11.33203125" style="412" customWidth="1"/>
    <col min="5126" max="5126" width="8.83203125" style="412" customWidth="1"/>
    <col min="5127" max="5127" width="6.33203125" style="412" customWidth="1"/>
    <col min="5128" max="5128" width="14.33203125" style="412" customWidth="1"/>
    <col min="5129" max="5132" width="8.83203125" style="412" customWidth="1"/>
    <col min="5133" max="5133" width="17.83203125" style="412" customWidth="1"/>
    <col min="5134" max="5375" width="8.83203125" style="412" customWidth="1"/>
    <col min="5376" max="5376" width="32.33203125" style="412" bestFit="1" customWidth="1"/>
    <col min="5377" max="5377" width="22.1640625" style="412" customWidth="1"/>
    <col min="5378" max="5378" width="14.33203125" style="412" customWidth="1"/>
    <col min="5379" max="5379" width="19" style="412" customWidth="1"/>
    <col min="5380" max="5380" width="8.83203125" style="412" customWidth="1"/>
    <col min="5381" max="5381" width="11.33203125" style="412" customWidth="1"/>
    <col min="5382" max="5382" width="8.83203125" style="412" customWidth="1"/>
    <col min="5383" max="5383" width="6.33203125" style="412" customWidth="1"/>
    <col min="5384" max="5384" width="14.33203125" style="412" customWidth="1"/>
    <col min="5385" max="5388" width="8.83203125" style="412" customWidth="1"/>
    <col min="5389" max="5389" width="17.83203125" style="412" customWidth="1"/>
    <col min="5390" max="5631" width="8.83203125" style="412" customWidth="1"/>
    <col min="5632" max="5632" width="32.33203125" style="412" bestFit="1" customWidth="1"/>
    <col min="5633" max="5633" width="22.1640625" style="412" customWidth="1"/>
    <col min="5634" max="5634" width="14.33203125" style="412" customWidth="1"/>
    <col min="5635" max="5635" width="19" style="412" customWidth="1"/>
    <col min="5636" max="5636" width="8.83203125" style="412" customWidth="1"/>
    <col min="5637" max="5637" width="11.33203125" style="412" customWidth="1"/>
    <col min="5638" max="5638" width="8.83203125" style="412" customWidth="1"/>
    <col min="5639" max="5639" width="6.33203125" style="412" customWidth="1"/>
    <col min="5640" max="5640" width="14.33203125" style="412" customWidth="1"/>
    <col min="5641" max="5644" width="8.83203125" style="412" customWidth="1"/>
    <col min="5645" max="5645" width="17.83203125" style="412" customWidth="1"/>
    <col min="5646" max="5887" width="8.83203125" style="412" customWidth="1"/>
    <col min="5888" max="5888" width="32.33203125" style="412" bestFit="1" customWidth="1"/>
    <col min="5889" max="5889" width="22.1640625" style="412" customWidth="1"/>
    <col min="5890" max="5890" width="14.33203125" style="412" customWidth="1"/>
    <col min="5891" max="5891" width="19" style="412" customWidth="1"/>
    <col min="5892" max="5892" width="8.83203125" style="412" customWidth="1"/>
    <col min="5893" max="5893" width="11.33203125" style="412" customWidth="1"/>
    <col min="5894" max="5894" width="8.83203125" style="412" customWidth="1"/>
    <col min="5895" max="5895" width="6.33203125" style="412" customWidth="1"/>
    <col min="5896" max="5896" width="14.33203125" style="412" customWidth="1"/>
    <col min="5897" max="5900" width="8.83203125" style="412" customWidth="1"/>
    <col min="5901" max="5901" width="17.83203125" style="412" customWidth="1"/>
    <col min="5902" max="6143" width="8.83203125" style="412" customWidth="1"/>
    <col min="6144" max="6144" width="32.33203125" style="412" bestFit="1" customWidth="1"/>
    <col min="6145" max="6145" width="22.1640625" style="412" customWidth="1"/>
    <col min="6146" max="6146" width="14.33203125" style="412" customWidth="1"/>
    <col min="6147" max="6147" width="19" style="412" customWidth="1"/>
    <col min="6148" max="6148" width="8.83203125" style="412" customWidth="1"/>
    <col min="6149" max="6149" width="11.33203125" style="412" customWidth="1"/>
    <col min="6150" max="6150" width="8.83203125" style="412" customWidth="1"/>
    <col min="6151" max="6151" width="6.33203125" style="412" customWidth="1"/>
    <col min="6152" max="6152" width="14.33203125" style="412" customWidth="1"/>
    <col min="6153" max="6156" width="8.83203125" style="412" customWidth="1"/>
    <col min="6157" max="6157" width="17.83203125" style="412" customWidth="1"/>
    <col min="6158" max="6399" width="8.83203125" style="412" customWidth="1"/>
    <col min="6400" max="6400" width="32.33203125" style="412" bestFit="1" customWidth="1"/>
    <col min="6401" max="6401" width="22.1640625" style="412" customWidth="1"/>
    <col min="6402" max="6402" width="14.33203125" style="412" customWidth="1"/>
    <col min="6403" max="6403" width="19" style="412" customWidth="1"/>
    <col min="6404" max="6404" width="8.83203125" style="412" customWidth="1"/>
    <col min="6405" max="6405" width="11.33203125" style="412" customWidth="1"/>
    <col min="6406" max="6406" width="8.83203125" style="412" customWidth="1"/>
    <col min="6407" max="6407" width="6.33203125" style="412" customWidth="1"/>
    <col min="6408" max="6408" width="14.33203125" style="412" customWidth="1"/>
    <col min="6409" max="6412" width="8.83203125" style="412" customWidth="1"/>
    <col min="6413" max="6413" width="17.83203125" style="412" customWidth="1"/>
    <col min="6414" max="6655" width="8.83203125" style="412" customWidth="1"/>
    <col min="6656" max="6656" width="32.33203125" style="412" bestFit="1" customWidth="1"/>
    <col min="6657" max="6657" width="22.1640625" style="412" customWidth="1"/>
    <col min="6658" max="6658" width="14.33203125" style="412" customWidth="1"/>
    <col min="6659" max="6659" width="19" style="412" customWidth="1"/>
    <col min="6660" max="6660" width="8.83203125" style="412" customWidth="1"/>
    <col min="6661" max="6661" width="11.33203125" style="412" customWidth="1"/>
    <col min="6662" max="6662" width="8.83203125" style="412" customWidth="1"/>
    <col min="6663" max="6663" width="6.33203125" style="412" customWidth="1"/>
    <col min="6664" max="6664" width="14.33203125" style="412" customWidth="1"/>
    <col min="6665" max="6668" width="8.83203125" style="412" customWidth="1"/>
    <col min="6669" max="6669" width="17.83203125" style="412" customWidth="1"/>
    <col min="6670" max="6911" width="8.83203125" style="412" customWidth="1"/>
    <col min="6912" max="6912" width="32.33203125" style="412" bestFit="1" customWidth="1"/>
    <col min="6913" max="6913" width="22.1640625" style="412" customWidth="1"/>
    <col min="6914" max="6914" width="14.33203125" style="412" customWidth="1"/>
    <col min="6915" max="6915" width="19" style="412" customWidth="1"/>
    <col min="6916" max="6916" width="8.83203125" style="412" customWidth="1"/>
    <col min="6917" max="6917" width="11.33203125" style="412" customWidth="1"/>
    <col min="6918" max="6918" width="8.83203125" style="412" customWidth="1"/>
    <col min="6919" max="6919" width="6.33203125" style="412" customWidth="1"/>
    <col min="6920" max="6920" width="14.33203125" style="412" customWidth="1"/>
    <col min="6921" max="6924" width="8.83203125" style="412" customWidth="1"/>
    <col min="6925" max="6925" width="17.83203125" style="412" customWidth="1"/>
    <col min="6926" max="7167" width="8.83203125" style="412" customWidth="1"/>
    <col min="7168" max="7168" width="32.33203125" style="412" bestFit="1" customWidth="1"/>
    <col min="7169" max="7169" width="22.1640625" style="412" customWidth="1"/>
    <col min="7170" max="7170" width="14.33203125" style="412" customWidth="1"/>
    <col min="7171" max="7171" width="19" style="412" customWidth="1"/>
    <col min="7172" max="7172" width="8.83203125" style="412" customWidth="1"/>
    <col min="7173" max="7173" width="11.33203125" style="412" customWidth="1"/>
    <col min="7174" max="7174" width="8.83203125" style="412" customWidth="1"/>
    <col min="7175" max="7175" width="6.33203125" style="412" customWidth="1"/>
    <col min="7176" max="7176" width="14.33203125" style="412" customWidth="1"/>
    <col min="7177" max="7180" width="8.83203125" style="412" customWidth="1"/>
    <col min="7181" max="7181" width="17.83203125" style="412" customWidth="1"/>
    <col min="7182" max="7423" width="8.83203125" style="412" customWidth="1"/>
    <col min="7424" max="7424" width="32.33203125" style="412" bestFit="1" customWidth="1"/>
    <col min="7425" max="7425" width="22.1640625" style="412" customWidth="1"/>
    <col min="7426" max="7426" width="14.33203125" style="412" customWidth="1"/>
    <col min="7427" max="7427" width="19" style="412" customWidth="1"/>
    <col min="7428" max="7428" width="8.83203125" style="412" customWidth="1"/>
    <col min="7429" max="7429" width="11.33203125" style="412" customWidth="1"/>
    <col min="7430" max="7430" width="8.83203125" style="412" customWidth="1"/>
    <col min="7431" max="7431" width="6.33203125" style="412" customWidth="1"/>
    <col min="7432" max="7432" width="14.33203125" style="412" customWidth="1"/>
    <col min="7433" max="7436" width="8.83203125" style="412" customWidth="1"/>
    <col min="7437" max="7437" width="17.83203125" style="412" customWidth="1"/>
    <col min="7438" max="7679" width="8.83203125" style="412" customWidth="1"/>
    <col min="7680" max="7680" width="32.33203125" style="412" bestFit="1" customWidth="1"/>
    <col min="7681" max="7681" width="22.1640625" style="412" customWidth="1"/>
    <col min="7682" max="7682" width="14.33203125" style="412" customWidth="1"/>
    <col min="7683" max="7683" width="19" style="412" customWidth="1"/>
    <col min="7684" max="7684" width="8.83203125" style="412" customWidth="1"/>
    <col min="7685" max="7685" width="11.33203125" style="412" customWidth="1"/>
    <col min="7686" max="7686" width="8.83203125" style="412" customWidth="1"/>
    <col min="7687" max="7687" width="6.33203125" style="412" customWidth="1"/>
    <col min="7688" max="7688" width="14.33203125" style="412" customWidth="1"/>
    <col min="7689" max="7692" width="8.83203125" style="412" customWidth="1"/>
    <col min="7693" max="7693" width="17.83203125" style="412" customWidth="1"/>
    <col min="7694" max="7935" width="8.83203125" style="412" customWidth="1"/>
    <col min="7936" max="7936" width="32.33203125" style="412" bestFit="1" customWidth="1"/>
    <col min="7937" max="7937" width="22.1640625" style="412" customWidth="1"/>
    <col min="7938" max="7938" width="14.33203125" style="412" customWidth="1"/>
    <col min="7939" max="7939" width="19" style="412" customWidth="1"/>
    <col min="7940" max="7940" width="8.83203125" style="412" customWidth="1"/>
    <col min="7941" max="7941" width="11.33203125" style="412" customWidth="1"/>
    <col min="7942" max="7942" width="8.83203125" style="412" customWidth="1"/>
    <col min="7943" max="7943" width="6.33203125" style="412" customWidth="1"/>
    <col min="7944" max="7944" width="14.33203125" style="412" customWidth="1"/>
    <col min="7945" max="7948" width="8.83203125" style="412" customWidth="1"/>
    <col min="7949" max="7949" width="17.83203125" style="412" customWidth="1"/>
    <col min="7950" max="8191" width="8.83203125" style="412" customWidth="1"/>
    <col min="8192" max="8192" width="32.33203125" style="412" bestFit="1" customWidth="1"/>
    <col min="8193" max="8193" width="22.1640625" style="412" customWidth="1"/>
    <col min="8194" max="8194" width="14.33203125" style="412" customWidth="1"/>
    <col min="8195" max="8195" width="19" style="412" customWidth="1"/>
    <col min="8196" max="8196" width="8.83203125" style="412" customWidth="1"/>
    <col min="8197" max="8197" width="11.33203125" style="412" customWidth="1"/>
    <col min="8198" max="8198" width="8.83203125" style="412" customWidth="1"/>
    <col min="8199" max="8199" width="6.33203125" style="412" customWidth="1"/>
    <col min="8200" max="8200" width="14.33203125" style="412" customWidth="1"/>
    <col min="8201" max="8204" width="8.83203125" style="412" customWidth="1"/>
    <col min="8205" max="8205" width="17.83203125" style="412" customWidth="1"/>
    <col min="8206" max="8447" width="8.83203125" style="412" customWidth="1"/>
    <col min="8448" max="8448" width="32.33203125" style="412" bestFit="1" customWidth="1"/>
    <col min="8449" max="8449" width="22.1640625" style="412" customWidth="1"/>
    <col min="8450" max="8450" width="14.33203125" style="412" customWidth="1"/>
    <col min="8451" max="8451" width="19" style="412" customWidth="1"/>
    <col min="8452" max="8452" width="8.83203125" style="412" customWidth="1"/>
    <col min="8453" max="8453" width="11.33203125" style="412" customWidth="1"/>
    <col min="8454" max="8454" width="8.83203125" style="412" customWidth="1"/>
    <col min="8455" max="8455" width="6.33203125" style="412" customWidth="1"/>
    <col min="8456" max="8456" width="14.33203125" style="412" customWidth="1"/>
    <col min="8457" max="8460" width="8.83203125" style="412" customWidth="1"/>
    <col min="8461" max="8461" width="17.83203125" style="412" customWidth="1"/>
    <col min="8462" max="8703" width="8.83203125" style="412" customWidth="1"/>
    <col min="8704" max="8704" width="32.33203125" style="412" bestFit="1" customWidth="1"/>
    <col min="8705" max="8705" width="22.1640625" style="412" customWidth="1"/>
    <col min="8706" max="8706" width="14.33203125" style="412" customWidth="1"/>
    <col min="8707" max="8707" width="19" style="412" customWidth="1"/>
    <col min="8708" max="8708" width="8.83203125" style="412" customWidth="1"/>
    <col min="8709" max="8709" width="11.33203125" style="412" customWidth="1"/>
    <col min="8710" max="8710" width="8.83203125" style="412" customWidth="1"/>
    <col min="8711" max="8711" width="6.33203125" style="412" customWidth="1"/>
    <col min="8712" max="8712" width="14.33203125" style="412" customWidth="1"/>
    <col min="8713" max="8716" width="8.83203125" style="412" customWidth="1"/>
    <col min="8717" max="8717" width="17.83203125" style="412" customWidth="1"/>
    <col min="8718" max="8959" width="8.83203125" style="412" customWidth="1"/>
    <col min="8960" max="8960" width="32.33203125" style="412" bestFit="1" customWidth="1"/>
    <col min="8961" max="8961" width="22.1640625" style="412" customWidth="1"/>
    <col min="8962" max="8962" width="14.33203125" style="412" customWidth="1"/>
    <col min="8963" max="8963" width="19" style="412" customWidth="1"/>
    <col min="8964" max="8964" width="8.83203125" style="412" customWidth="1"/>
    <col min="8965" max="8965" width="11.33203125" style="412" customWidth="1"/>
    <col min="8966" max="8966" width="8.83203125" style="412" customWidth="1"/>
    <col min="8967" max="8967" width="6.33203125" style="412" customWidth="1"/>
    <col min="8968" max="8968" width="14.33203125" style="412" customWidth="1"/>
    <col min="8969" max="8972" width="8.83203125" style="412" customWidth="1"/>
    <col min="8973" max="8973" width="17.83203125" style="412" customWidth="1"/>
    <col min="8974" max="9215" width="8.83203125" style="412" customWidth="1"/>
    <col min="9216" max="9216" width="32.33203125" style="412" bestFit="1" customWidth="1"/>
    <col min="9217" max="9217" width="22.1640625" style="412" customWidth="1"/>
    <col min="9218" max="9218" width="14.33203125" style="412" customWidth="1"/>
    <col min="9219" max="9219" width="19" style="412" customWidth="1"/>
    <col min="9220" max="9220" width="8.83203125" style="412" customWidth="1"/>
    <col min="9221" max="9221" width="11.33203125" style="412" customWidth="1"/>
    <col min="9222" max="9222" width="8.83203125" style="412" customWidth="1"/>
    <col min="9223" max="9223" width="6.33203125" style="412" customWidth="1"/>
    <col min="9224" max="9224" width="14.33203125" style="412" customWidth="1"/>
    <col min="9225" max="9228" width="8.83203125" style="412" customWidth="1"/>
    <col min="9229" max="9229" width="17.83203125" style="412" customWidth="1"/>
    <col min="9230" max="9471" width="8.83203125" style="412" customWidth="1"/>
    <col min="9472" max="9472" width="32.33203125" style="412" bestFit="1" customWidth="1"/>
    <col min="9473" max="9473" width="22.1640625" style="412" customWidth="1"/>
    <col min="9474" max="9474" width="14.33203125" style="412" customWidth="1"/>
    <col min="9475" max="9475" width="19" style="412" customWidth="1"/>
    <col min="9476" max="9476" width="8.83203125" style="412" customWidth="1"/>
    <col min="9477" max="9477" width="11.33203125" style="412" customWidth="1"/>
    <col min="9478" max="9478" width="8.83203125" style="412" customWidth="1"/>
    <col min="9479" max="9479" width="6.33203125" style="412" customWidth="1"/>
    <col min="9480" max="9480" width="14.33203125" style="412" customWidth="1"/>
    <col min="9481" max="9484" width="8.83203125" style="412" customWidth="1"/>
    <col min="9485" max="9485" width="17.83203125" style="412" customWidth="1"/>
    <col min="9486" max="9727" width="8.83203125" style="412" customWidth="1"/>
    <col min="9728" max="9728" width="32.33203125" style="412" bestFit="1" customWidth="1"/>
    <col min="9729" max="9729" width="22.1640625" style="412" customWidth="1"/>
    <col min="9730" max="9730" width="14.33203125" style="412" customWidth="1"/>
    <col min="9731" max="9731" width="19" style="412" customWidth="1"/>
    <col min="9732" max="9732" width="8.83203125" style="412" customWidth="1"/>
    <col min="9733" max="9733" width="11.33203125" style="412" customWidth="1"/>
    <col min="9734" max="9734" width="8.83203125" style="412" customWidth="1"/>
    <col min="9735" max="9735" width="6.33203125" style="412" customWidth="1"/>
    <col min="9736" max="9736" width="14.33203125" style="412" customWidth="1"/>
    <col min="9737" max="9740" width="8.83203125" style="412" customWidth="1"/>
    <col min="9741" max="9741" width="17.83203125" style="412" customWidth="1"/>
    <col min="9742" max="9983" width="8.83203125" style="412" customWidth="1"/>
    <col min="9984" max="9984" width="32.33203125" style="412" bestFit="1" customWidth="1"/>
    <col min="9985" max="9985" width="22.1640625" style="412" customWidth="1"/>
    <col min="9986" max="9986" width="14.33203125" style="412" customWidth="1"/>
    <col min="9987" max="9987" width="19" style="412" customWidth="1"/>
    <col min="9988" max="9988" width="8.83203125" style="412" customWidth="1"/>
    <col min="9989" max="9989" width="11.33203125" style="412" customWidth="1"/>
    <col min="9990" max="9990" width="8.83203125" style="412" customWidth="1"/>
    <col min="9991" max="9991" width="6.33203125" style="412" customWidth="1"/>
    <col min="9992" max="9992" width="14.33203125" style="412" customWidth="1"/>
    <col min="9993" max="9996" width="8.83203125" style="412" customWidth="1"/>
    <col min="9997" max="9997" width="17.83203125" style="412" customWidth="1"/>
    <col min="9998" max="10239" width="8.83203125" style="412" customWidth="1"/>
    <col min="10240" max="10240" width="32.33203125" style="412" bestFit="1" customWidth="1"/>
    <col min="10241" max="10241" width="22.1640625" style="412" customWidth="1"/>
    <col min="10242" max="10242" width="14.33203125" style="412" customWidth="1"/>
    <col min="10243" max="10243" width="19" style="412" customWidth="1"/>
    <col min="10244" max="10244" width="8.83203125" style="412" customWidth="1"/>
    <col min="10245" max="10245" width="11.33203125" style="412" customWidth="1"/>
    <col min="10246" max="10246" width="8.83203125" style="412" customWidth="1"/>
    <col min="10247" max="10247" width="6.33203125" style="412" customWidth="1"/>
    <col min="10248" max="10248" width="14.33203125" style="412" customWidth="1"/>
    <col min="10249" max="10252" width="8.83203125" style="412" customWidth="1"/>
    <col min="10253" max="10253" width="17.83203125" style="412" customWidth="1"/>
    <col min="10254" max="10495" width="8.83203125" style="412" customWidth="1"/>
    <col min="10496" max="10496" width="32.33203125" style="412" bestFit="1" customWidth="1"/>
    <col min="10497" max="10497" width="22.1640625" style="412" customWidth="1"/>
    <col min="10498" max="10498" width="14.33203125" style="412" customWidth="1"/>
    <col min="10499" max="10499" width="19" style="412" customWidth="1"/>
    <col min="10500" max="10500" width="8.83203125" style="412" customWidth="1"/>
    <col min="10501" max="10501" width="11.33203125" style="412" customWidth="1"/>
    <col min="10502" max="10502" width="8.83203125" style="412" customWidth="1"/>
    <col min="10503" max="10503" width="6.33203125" style="412" customWidth="1"/>
    <col min="10504" max="10504" width="14.33203125" style="412" customWidth="1"/>
    <col min="10505" max="10508" width="8.83203125" style="412" customWidth="1"/>
    <col min="10509" max="10509" width="17.83203125" style="412" customWidth="1"/>
    <col min="10510" max="10751" width="8.83203125" style="412" customWidth="1"/>
    <col min="10752" max="10752" width="32.33203125" style="412" bestFit="1" customWidth="1"/>
    <col min="10753" max="10753" width="22.1640625" style="412" customWidth="1"/>
    <col min="10754" max="10754" width="14.33203125" style="412" customWidth="1"/>
    <col min="10755" max="10755" width="19" style="412" customWidth="1"/>
    <col min="10756" max="10756" width="8.83203125" style="412" customWidth="1"/>
    <col min="10757" max="10757" width="11.33203125" style="412" customWidth="1"/>
    <col min="10758" max="10758" width="8.83203125" style="412" customWidth="1"/>
    <col min="10759" max="10759" width="6.33203125" style="412" customWidth="1"/>
    <col min="10760" max="10760" width="14.33203125" style="412" customWidth="1"/>
    <col min="10761" max="10764" width="8.83203125" style="412" customWidth="1"/>
    <col min="10765" max="10765" width="17.83203125" style="412" customWidth="1"/>
    <col min="10766" max="11007" width="8.83203125" style="412" customWidth="1"/>
    <col min="11008" max="11008" width="32.33203125" style="412" bestFit="1" customWidth="1"/>
    <col min="11009" max="11009" width="22.1640625" style="412" customWidth="1"/>
    <col min="11010" max="11010" width="14.33203125" style="412" customWidth="1"/>
    <col min="11011" max="11011" width="19" style="412" customWidth="1"/>
    <col min="11012" max="11012" width="8.83203125" style="412" customWidth="1"/>
    <col min="11013" max="11013" width="11.33203125" style="412" customWidth="1"/>
    <col min="11014" max="11014" width="8.83203125" style="412" customWidth="1"/>
    <col min="11015" max="11015" width="6.33203125" style="412" customWidth="1"/>
    <col min="11016" max="11016" width="14.33203125" style="412" customWidth="1"/>
    <col min="11017" max="11020" width="8.83203125" style="412" customWidth="1"/>
    <col min="11021" max="11021" width="17.83203125" style="412" customWidth="1"/>
    <col min="11022" max="11263" width="8.83203125" style="412" customWidth="1"/>
    <col min="11264" max="11264" width="32.33203125" style="412" bestFit="1" customWidth="1"/>
    <col min="11265" max="11265" width="22.1640625" style="412" customWidth="1"/>
    <col min="11266" max="11266" width="14.33203125" style="412" customWidth="1"/>
    <col min="11267" max="11267" width="19" style="412" customWidth="1"/>
    <col min="11268" max="11268" width="8.83203125" style="412" customWidth="1"/>
    <col min="11269" max="11269" width="11.33203125" style="412" customWidth="1"/>
    <col min="11270" max="11270" width="8.83203125" style="412" customWidth="1"/>
    <col min="11271" max="11271" width="6.33203125" style="412" customWidth="1"/>
    <col min="11272" max="11272" width="14.33203125" style="412" customWidth="1"/>
    <col min="11273" max="11276" width="8.83203125" style="412" customWidth="1"/>
    <col min="11277" max="11277" width="17.83203125" style="412" customWidth="1"/>
    <col min="11278" max="11519" width="8.83203125" style="412" customWidth="1"/>
    <col min="11520" max="11520" width="32.33203125" style="412" bestFit="1" customWidth="1"/>
    <col min="11521" max="11521" width="22.1640625" style="412" customWidth="1"/>
    <col min="11522" max="11522" width="14.33203125" style="412" customWidth="1"/>
    <col min="11523" max="11523" width="19" style="412" customWidth="1"/>
    <col min="11524" max="11524" width="8.83203125" style="412" customWidth="1"/>
    <col min="11525" max="11525" width="11.33203125" style="412" customWidth="1"/>
    <col min="11526" max="11526" width="8.83203125" style="412" customWidth="1"/>
    <col min="11527" max="11527" width="6.33203125" style="412" customWidth="1"/>
    <col min="11528" max="11528" width="14.33203125" style="412" customWidth="1"/>
    <col min="11529" max="11532" width="8.83203125" style="412" customWidth="1"/>
    <col min="11533" max="11533" width="17.83203125" style="412" customWidth="1"/>
    <col min="11534" max="11775" width="8.83203125" style="412" customWidth="1"/>
    <col min="11776" max="11776" width="32.33203125" style="412" bestFit="1" customWidth="1"/>
    <col min="11777" max="11777" width="22.1640625" style="412" customWidth="1"/>
    <col min="11778" max="11778" width="14.33203125" style="412" customWidth="1"/>
    <col min="11779" max="11779" width="19" style="412" customWidth="1"/>
    <col min="11780" max="11780" width="8.83203125" style="412" customWidth="1"/>
    <col min="11781" max="11781" width="11.33203125" style="412" customWidth="1"/>
    <col min="11782" max="11782" width="8.83203125" style="412" customWidth="1"/>
    <col min="11783" max="11783" width="6.33203125" style="412" customWidth="1"/>
    <col min="11784" max="11784" width="14.33203125" style="412" customWidth="1"/>
    <col min="11785" max="11788" width="8.83203125" style="412" customWidth="1"/>
    <col min="11789" max="11789" width="17.83203125" style="412" customWidth="1"/>
    <col min="11790" max="12031" width="8.83203125" style="412" customWidth="1"/>
    <col min="12032" max="12032" width="32.33203125" style="412" bestFit="1" customWidth="1"/>
    <col min="12033" max="12033" width="22.1640625" style="412" customWidth="1"/>
    <col min="12034" max="12034" width="14.33203125" style="412" customWidth="1"/>
    <col min="12035" max="12035" width="19" style="412" customWidth="1"/>
    <col min="12036" max="12036" width="8.83203125" style="412" customWidth="1"/>
    <col min="12037" max="12037" width="11.33203125" style="412" customWidth="1"/>
    <col min="12038" max="12038" width="8.83203125" style="412" customWidth="1"/>
    <col min="12039" max="12039" width="6.33203125" style="412" customWidth="1"/>
    <col min="12040" max="12040" width="14.33203125" style="412" customWidth="1"/>
    <col min="12041" max="12044" width="8.83203125" style="412" customWidth="1"/>
    <col min="12045" max="12045" width="17.83203125" style="412" customWidth="1"/>
    <col min="12046" max="12287" width="8.83203125" style="412" customWidth="1"/>
    <col min="12288" max="12288" width="32.33203125" style="412" bestFit="1" customWidth="1"/>
    <col min="12289" max="12289" width="22.1640625" style="412" customWidth="1"/>
    <col min="12290" max="12290" width="14.33203125" style="412" customWidth="1"/>
    <col min="12291" max="12291" width="19" style="412" customWidth="1"/>
    <col min="12292" max="12292" width="8.83203125" style="412" customWidth="1"/>
    <col min="12293" max="12293" width="11.33203125" style="412" customWidth="1"/>
    <col min="12294" max="12294" width="8.83203125" style="412" customWidth="1"/>
    <col min="12295" max="12295" width="6.33203125" style="412" customWidth="1"/>
    <col min="12296" max="12296" width="14.33203125" style="412" customWidth="1"/>
    <col min="12297" max="12300" width="8.83203125" style="412" customWidth="1"/>
    <col min="12301" max="12301" width="17.83203125" style="412" customWidth="1"/>
    <col min="12302" max="12543" width="8.83203125" style="412" customWidth="1"/>
    <col min="12544" max="12544" width="32.33203125" style="412" bestFit="1" customWidth="1"/>
    <col min="12545" max="12545" width="22.1640625" style="412" customWidth="1"/>
    <col min="12546" max="12546" width="14.33203125" style="412" customWidth="1"/>
    <col min="12547" max="12547" width="19" style="412" customWidth="1"/>
    <col min="12548" max="12548" width="8.83203125" style="412" customWidth="1"/>
    <col min="12549" max="12549" width="11.33203125" style="412" customWidth="1"/>
    <col min="12550" max="12550" width="8.83203125" style="412" customWidth="1"/>
    <col min="12551" max="12551" width="6.33203125" style="412" customWidth="1"/>
    <col min="12552" max="12552" width="14.33203125" style="412" customWidth="1"/>
    <col min="12553" max="12556" width="8.83203125" style="412" customWidth="1"/>
    <col min="12557" max="12557" width="17.83203125" style="412" customWidth="1"/>
    <col min="12558" max="12799" width="8.83203125" style="412" customWidth="1"/>
    <col min="12800" max="12800" width="32.33203125" style="412" bestFit="1" customWidth="1"/>
    <col min="12801" max="12801" width="22.1640625" style="412" customWidth="1"/>
    <col min="12802" max="12802" width="14.33203125" style="412" customWidth="1"/>
    <col min="12803" max="12803" width="19" style="412" customWidth="1"/>
    <col min="12804" max="12804" width="8.83203125" style="412" customWidth="1"/>
    <col min="12805" max="12805" width="11.33203125" style="412" customWidth="1"/>
    <col min="12806" max="12806" width="8.83203125" style="412" customWidth="1"/>
    <col min="12807" max="12807" width="6.33203125" style="412" customWidth="1"/>
    <col min="12808" max="12808" width="14.33203125" style="412" customWidth="1"/>
    <col min="12809" max="12812" width="8.83203125" style="412" customWidth="1"/>
    <col min="12813" max="12813" width="17.83203125" style="412" customWidth="1"/>
    <col min="12814" max="13055" width="8.83203125" style="412" customWidth="1"/>
    <col min="13056" max="13056" width="32.33203125" style="412" bestFit="1" customWidth="1"/>
    <col min="13057" max="13057" width="22.1640625" style="412" customWidth="1"/>
    <col min="13058" max="13058" width="14.33203125" style="412" customWidth="1"/>
    <col min="13059" max="13059" width="19" style="412" customWidth="1"/>
    <col min="13060" max="13060" width="8.83203125" style="412" customWidth="1"/>
    <col min="13061" max="13061" width="11.33203125" style="412" customWidth="1"/>
    <col min="13062" max="13062" width="8.83203125" style="412" customWidth="1"/>
    <col min="13063" max="13063" width="6.33203125" style="412" customWidth="1"/>
    <col min="13064" max="13064" width="14.33203125" style="412" customWidth="1"/>
    <col min="13065" max="13068" width="8.83203125" style="412" customWidth="1"/>
    <col min="13069" max="13069" width="17.83203125" style="412" customWidth="1"/>
    <col min="13070" max="13311" width="8.83203125" style="412" customWidth="1"/>
    <col min="13312" max="13312" width="32.33203125" style="412" bestFit="1" customWidth="1"/>
    <col min="13313" max="13313" width="22.1640625" style="412" customWidth="1"/>
    <col min="13314" max="13314" width="14.33203125" style="412" customWidth="1"/>
    <col min="13315" max="13315" width="19" style="412" customWidth="1"/>
    <col min="13316" max="13316" width="8.83203125" style="412" customWidth="1"/>
    <col min="13317" max="13317" width="11.33203125" style="412" customWidth="1"/>
    <col min="13318" max="13318" width="8.83203125" style="412" customWidth="1"/>
    <col min="13319" max="13319" width="6.33203125" style="412" customWidth="1"/>
    <col min="13320" max="13320" width="14.33203125" style="412" customWidth="1"/>
    <col min="13321" max="13324" width="8.83203125" style="412" customWidth="1"/>
    <col min="13325" max="13325" width="17.83203125" style="412" customWidth="1"/>
    <col min="13326" max="13567" width="8.83203125" style="412" customWidth="1"/>
    <col min="13568" max="13568" width="32.33203125" style="412" bestFit="1" customWidth="1"/>
    <col min="13569" max="13569" width="22.1640625" style="412" customWidth="1"/>
    <col min="13570" max="13570" width="14.33203125" style="412" customWidth="1"/>
    <col min="13571" max="13571" width="19" style="412" customWidth="1"/>
    <col min="13572" max="13572" width="8.83203125" style="412" customWidth="1"/>
    <col min="13573" max="13573" width="11.33203125" style="412" customWidth="1"/>
    <col min="13574" max="13574" width="8.83203125" style="412" customWidth="1"/>
    <col min="13575" max="13575" width="6.33203125" style="412" customWidth="1"/>
    <col min="13576" max="13576" width="14.33203125" style="412" customWidth="1"/>
    <col min="13577" max="13580" width="8.83203125" style="412" customWidth="1"/>
    <col min="13581" max="13581" width="17.83203125" style="412" customWidth="1"/>
    <col min="13582" max="13823" width="8.83203125" style="412" customWidth="1"/>
    <col min="13824" max="13824" width="32.33203125" style="412" bestFit="1" customWidth="1"/>
    <col min="13825" max="13825" width="22.1640625" style="412" customWidth="1"/>
    <col min="13826" max="13826" width="14.33203125" style="412" customWidth="1"/>
    <col min="13827" max="13827" width="19" style="412" customWidth="1"/>
    <col min="13828" max="13828" width="8.83203125" style="412" customWidth="1"/>
    <col min="13829" max="13829" width="11.33203125" style="412" customWidth="1"/>
    <col min="13830" max="13830" width="8.83203125" style="412" customWidth="1"/>
    <col min="13831" max="13831" width="6.33203125" style="412" customWidth="1"/>
    <col min="13832" max="13832" width="14.33203125" style="412" customWidth="1"/>
    <col min="13833" max="13836" width="8.83203125" style="412" customWidth="1"/>
    <col min="13837" max="13837" width="17.83203125" style="412" customWidth="1"/>
    <col min="13838" max="14079" width="8.83203125" style="412" customWidth="1"/>
    <col min="14080" max="14080" width="32.33203125" style="412" bestFit="1" customWidth="1"/>
    <col min="14081" max="14081" width="22.1640625" style="412" customWidth="1"/>
    <col min="14082" max="14082" width="14.33203125" style="412" customWidth="1"/>
    <col min="14083" max="14083" width="19" style="412" customWidth="1"/>
    <col min="14084" max="14084" width="8.83203125" style="412" customWidth="1"/>
    <col min="14085" max="14085" width="11.33203125" style="412" customWidth="1"/>
    <col min="14086" max="14086" width="8.83203125" style="412" customWidth="1"/>
    <col min="14087" max="14087" width="6.33203125" style="412" customWidth="1"/>
    <col min="14088" max="14088" width="14.33203125" style="412" customWidth="1"/>
    <col min="14089" max="14092" width="8.83203125" style="412" customWidth="1"/>
    <col min="14093" max="14093" width="17.83203125" style="412" customWidth="1"/>
    <col min="14094" max="14335" width="8.83203125" style="412" customWidth="1"/>
    <col min="14336" max="14336" width="32.33203125" style="412" bestFit="1" customWidth="1"/>
    <col min="14337" max="14337" width="22.1640625" style="412" customWidth="1"/>
    <col min="14338" max="14338" width="14.33203125" style="412" customWidth="1"/>
    <col min="14339" max="14339" width="19" style="412" customWidth="1"/>
    <col min="14340" max="14340" width="8.83203125" style="412" customWidth="1"/>
    <col min="14341" max="14341" width="11.33203125" style="412" customWidth="1"/>
    <col min="14342" max="14342" width="8.83203125" style="412" customWidth="1"/>
    <col min="14343" max="14343" width="6.33203125" style="412" customWidth="1"/>
    <col min="14344" max="14344" width="14.33203125" style="412" customWidth="1"/>
    <col min="14345" max="14348" width="8.83203125" style="412" customWidth="1"/>
    <col min="14349" max="14349" width="17.83203125" style="412" customWidth="1"/>
    <col min="14350" max="14591" width="8.83203125" style="412" customWidth="1"/>
    <col min="14592" max="14592" width="32.33203125" style="412" bestFit="1" customWidth="1"/>
    <col min="14593" max="14593" width="22.1640625" style="412" customWidth="1"/>
    <col min="14594" max="14594" width="14.33203125" style="412" customWidth="1"/>
    <col min="14595" max="14595" width="19" style="412" customWidth="1"/>
    <col min="14596" max="14596" width="8.83203125" style="412" customWidth="1"/>
    <col min="14597" max="14597" width="11.33203125" style="412" customWidth="1"/>
    <col min="14598" max="14598" width="8.83203125" style="412" customWidth="1"/>
    <col min="14599" max="14599" width="6.33203125" style="412" customWidth="1"/>
    <col min="14600" max="14600" width="14.33203125" style="412" customWidth="1"/>
    <col min="14601" max="14604" width="8.83203125" style="412" customWidth="1"/>
    <col min="14605" max="14605" width="17.83203125" style="412" customWidth="1"/>
    <col min="14606" max="14847" width="8.83203125" style="412" customWidth="1"/>
    <col min="14848" max="14848" width="32.33203125" style="412" bestFit="1" customWidth="1"/>
    <col min="14849" max="14849" width="22.1640625" style="412" customWidth="1"/>
    <col min="14850" max="14850" width="14.33203125" style="412" customWidth="1"/>
    <col min="14851" max="14851" width="19" style="412" customWidth="1"/>
    <col min="14852" max="14852" width="8.83203125" style="412" customWidth="1"/>
    <col min="14853" max="14853" width="11.33203125" style="412" customWidth="1"/>
    <col min="14854" max="14854" width="8.83203125" style="412" customWidth="1"/>
    <col min="14855" max="14855" width="6.33203125" style="412" customWidth="1"/>
    <col min="14856" max="14856" width="14.33203125" style="412" customWidth="1"/>
    <col min="14857" max="14860" width="8.83203125" style="412" customWidth="1"/>
    <col min="14861" max="14861" width="17.83203125" style="412" customWidth="1"/>
    <col min="14862" max="15103" width="8.83203125" style="412" customWidth="1"/>
    <col min="15104" max="15104" width="32.33203125" style="412" bestFit="1" customWidth="1"/>
    <col min="15105" max="15105" width="22.1640625" style="412" customWidth="1"/>
    <col min="15106" max="15106" width="14.33203125" style="412" customWidth="1"/>
    <col min="15107" max="15107" width="19" style="412" customWidth="1"/>
    <col min="15108" max="15108" width="8.83203125" style="412" customWidth="1"/>
    <col min="15109" max="15109" width="11.33203125" style="412" customWidth="1"/>
    <col min="15110" max="15110" width="8.83203125" style="412" customWidth="1"/>
    <col min="15111" max="15111" width="6.33203125" style="412" customWidth="1"/>
    <col min="15112" max="15112" width="14.33203125" style="412" customWidth="1"/>
    <col min="15113" max="15116" width="8.83203125" style="412" customWidth="1"/>
    <col min="15117" max="15117" width="17.83203125" style="412" customWidth="1"/>
    <col min="15118" max="15359" width="8.83203125" style="412" customWidth="1"/>
    <col min="15360" max="15360" width="32.33203125" style="412" bestFit="1" customWidth="1"/>
    <col min="15361" max="15361" width="22.1640625" style="412" customWidth="1"/>
    <col min="15362" max="15362" width="14.33203125" style="412" customWidth="1"/>
    <col min="15363" max="15363" width="19" style="412" customWidth="1"/>
    <col min="15364" max="15364" width="8.83203125" style="412" customWidth="1"/>
    <col min="15365" max="15365" width="11.33203125" style="412" customWidth="1"/>
    <col min="15366" max="15366" width="8.83203125" style="412" customWidth="1"/>
    <col min="15367" max="15367" width="6.33203125" style="412" customWidth="1"/>
    <col min="15368" max="15368" width="14.33203125" style="412" customWidth="1"/>
    <col min="15369" max="15372" width="8.83203125" style="412" customWidth="1"/>
    <col min="15373" max="15373" width="17.83203125" style="412" customWidth="1"/>
    <col min="15374" max="15615" width="8.83203125" style="412" customWidth="1"/>
    <col min="15616" max="15616" width="32.33203125" style="412" bestFit="1" customWidth="1"/>
    <col min="15617" max="15617" width="22.1640625" style="412" customWidth="1"/>
    <col min="15618" max="15618" width="14.33203125" style="412" customWidth="1"/>
    <col min="15619" max="15619" width="19" style="412" customWidth="1"/>
    <col min="15620" max="15620" width="8.83203125" style="412" customWidth="1"/>
    <col min="15621" max="15621" width="11.33203125" style="412" customWidth="1"/>
    <col min="15622" max="15622" width="8.83203125" style="412" customWidth="1"/>
    <col min="15623" max="15623" width="6.33203125" style="412" customWidth="1"/>
    <col min="15624" max="15624" width="14.33203125" style="412" customWidth="1"/>
    <col min="15625" max="15628" width="8.83203125" style="412" customWidth="1"/>
    <col min="15629" max="15629" width="17.83203125" style="412" customWidth="1"/>
    <col min="15630" max="15871" width="8.83203125" style="412" customWidth="1"/>
    <col min="15872" max="15872" width="32.33203125" style="412" bestFit="1" customWidth="1"/>
    <col min="15873" max="15873" width="22.1640625" style="412" customWidth="1"/>
    <col min="15874" max="15874" width="14.33203125" style="412" customWidth="1"/>
    <col min="15875" max="15875" width="19" style="412" customWidth="1"/>
    <col min="15876" max="15876" width="8.83203125" style="412" customWidth="1"/>
    <col min="15877" max="15877" width="11.33203125" style="412" customWidth="1"/>
    <col min="15878" max="15878" width="8.83203125" style="412" customWidth="1"/>
    <col min="15879" max="15879" width="6.33203125" style="412" customWidth="1"/>
    <col min="15880" max="15880" width="14.33203125" style="412" customWidth="1"/>
    <col min="15881" max="15884" width="8.83203125" style="412" customWidth="1"/>
    <col min="15885" max="15885" width="17.83203125" style="412" customWidth="1"/>
    <col min="15886" max="16127" width="8.83203125" style="412" customWidth="1"/>
    <col min="16128" max="16128" width="32.33203125" style="412" bestFit="1" customWidth="1"/>
    <col min="16129" max="16129" width="22.1640625" style="412" customWidth="1"/>
    <col min="16130" max="16130" width="14.33203125" style="412" customWidth="1"/>
    <col min="16131" max="16131" width="19" style="412" customWidth="1"/>
    <col min="16132" max="16132" width="8.83203125" style="412" customWidth="1"/>
    <col min="16133" max="16133" width="11.33203125" style="412" customWidth="1"/>
    <col min="16134" max="16134" width="8.83203125" style="412" customWidth="1"/>
    <col min="16135" max="16135" width="6.33203125" style="412" customWidth="1"/>
    <col min="16136" max="16136" width="14.33203125" style="412" customWidth="1"/>
    <col min="16137" max="16140" width="8.83203125" style="412" customWidth="1"/>
    <col min="16141" max="16141" width="17.83203125" style="412" customWidth="1"/>
    <col min="16142" max="16384" width="8.83203125" style="412" customWidth="1"/>
  </cols>
  <sheetData>
    <row r="1" spans="1:14" x14ac:dyDescent="0.2">
      <c r="A1" s="411" t="s">
        <v>0</v>
      </c>
      <c r="B1" s="960" t="str">
        <f>'Cover Page'!D1</f>
        <v>ASU Preparatory Academy- Polytechnic MS</v>
      </c>
      <c r="C1" s="960"/>
      <c r="E1" s="411" t="s">
        <v>1</v>
      </c>
      <c r="F1" s="583" t="str">
        <f>'Cover Page'!M1</f>
        <v>Maricopa</v>
      </c>
      <c r="G1" s="413"/>
      <c r="H1" s="411" t="s">
        <v>2</v>
      </c>
      <c r="I1" s="540" t="str">
        <f>'Cover Page'!R1</f>
        <v>078251000</v>
      </c>
      <c r="J1" s="583"/>
      <c r="K1" s="583"/>
    </row>
    <row r="3" spans="1:14" x14ac:dyDescent="0.2">
      <c r="A3" s="655" t="s">
        <v>726</v>
      </c>
    </row>
    <row r="4" spans="1:14" x14ac:dyDescent="0.2">
      <c r="H4" s="414" t="s">
        <v>474</v>
      </c>
      <c r="I4" s="676" t="s">
        <v>1326</v>
      </c>
      <c r="J4" s="676" t="s">
        <v>1327</v>
      </c>
    </row>
    <row r="5" spans="1:14" x14ac:dyDescent="0.2">
      <c r="H5" s="7" t="s">
        <v>475</v>
      </c>
      <c r="I5" s="516">
        <v>347.0865</v>
      </c>
      <c r="J5" s="516">
        <f>'School listing'!D7</f>
        <v>328.39800000000002</v>
      </c>
    </row>
    <row r="6" spans="1:14" x14ac:dyDescent="0.2">
      <c r="A6" s="415"/>
      <c r="B6" s="416" t="s">
        <v>476</v>
      </c>
    </row>
    <row r="8" spans="1:14" ht="15" customHeight="1" x14ac:dyDescent="0.2">
      <c r="A8" s="417"/>
      <c r="B8" s="418"/>
      <c r="C8" s="419" t="s">
        <v>477</v>
      </c>
      <c r="D8" s="961" t="s">
        <v>478</v>
      </c>
      <c r="E8" s="420"/>
      <c r="F8" s="421"/>
      <c r="G8" s="957" t="s">
        <v>479</v>
      </c>
      <c r="H8" s="959" t="s">
        <v>480</v>
      </c>
      <c r="I8" s="421"/>
      <c r="J8" s="421"/>
      <c r="K8" s="422"/>
    </row>
    <row r="9" spans="1:14" x14ac:dyDescent="0.2">
      <c r="A9" s="423"/>
      <c r="B9" s="424" t="s">
        <v>184</v>
      </c>
      <c r="C9" s="425" t="s">
        <v>184</v>
      </c>
      <c r="D9" s="962"/>
      <c r="E9" s="426"/>
      <c r="F9" s="427"/>
      <c r="G9" s="958"/>
      <c r="H9" s="958"/>
      <c r="I9" s="427" t="s">
        <v>311</v>
      </c>
      <c r="J9" s="427" t="s">
        <v>481</v>
      </c>
      <c r="K9" s="428" t="s">
        <v>187</v>
      </c>
    </row>
    <row r="10" spans="1:14" x14ac:dyDescent="0.2">
      <c r="A10" s="429" t="s">
        <v>482</v>
      </c>
      <c r="B10" s="430" t="s">
        <v>483</v>
      </c>
      <c r="C10" s="431" t="s">
        <v>483</v>
      </c>
      <c r="D10" s="963"/>
      <c r="E10" s="432" t="s">
        <v>484</v>
      </c>
      <c r="F10" s="433" t="s">
        <v>313</v>
      </c>
      <c r="G10" s="958"/>
      <c r="H10" s="958"/>
      <c r="I10" s="433" t="s">
        <v>315</v>
      </c>
      <c r="J10" s="433" t="s">
        <v>485</v>
      </c>
      <c r="K10" s="434" t="s">
        <v>483</v>
      </c>
      <c r="M10" s="411" t="s">
        <v>486</v>
      </c>
    </row>
    <row r="11" spans="1:14" x14ac:dyDescent="0.2">
      <c r="A11" s="435" t="s">
        <v>487</v>
      </c>
      <c r="B11" s="436"/>
      <c r="C11" s="437"/>
      <c r="D11" s="437"/>
      <c r="E11" s="438"/>
      <c r="F11" s="439"/>
      <c r="G11" s="440">
        <f>'Page 2'!I23</f>
        <v>2887764</v>
      </c>
      <c r="H11" s="441">
        <f>'Page 2'!J23</f>
        <v>3899087</v>
      </c>
      <c r="I11" s="442"/>
      <c r="J11" s="439"/>
      <c r="K11" s="436"/>
      <c r="M11" s="411" t="s">
        <v>1140</v>
      </c>
    </row>
    <row r="12" spans="1:14" x14ac:dyDescent="0.2">
      <c r="A12" s="435" t="s">
        <v>488</v>
      </c>
      <c r="B12" s="436"/>
      <c r="C12" s="436"/>
      <c r="D12" s="436"/>
      <c r="E12" s="443"/>
      <c r="F12" s="439"/>
      <c r="G12" s="440">
        <f>'Page 2'!I37</f>
        <v>350212</v>
      </c>
      <c r="H12" s="444">
        <f>'Page 2'!J37</f>
        <v>461351</v>
      </c>
      <c r="I12" s="442"/>
      <c r="J12" s="439"/>
      <c r="K12" s="436"/>
      <c r="M12" s="445">
        <v>-1</v>
      </c>
      <c r="N12" s="412" t="str">
        <f>"The Charter "&amp;IF('Reserve balance'!F26="Yes","has","does not have")&amp;" an adopted policy establishing a reserve balance for FY 2025."</f>
        <v>The Charter does not have an adopted policy establishing a reserve balance for FY 2025.</v>
      </c>
    </row>
    <row r="13" spans="1:14" x14ac:dyDescent="0.2">
      <c r="A13" s="435" t="s">
        <v>489</v>
      </c>
      <c r="B13" s="436"/>
      <c r="C13" s="436"/>
      <c r="D13" s="436"/>
      <c r="E13" s="443"/>
      <c r="F13" s="439"/>
      <c r="G13" s="446">
        <f>'Page 2'!I38</f>
        <v>6732</v>
      </c>
      <c r="H13" s="444">
        <f>'Page 2'!J38</f>
        <v>13144</v>
      </c>
      <c r="I13" s="442"/>
      <c r="J13" s="439"/>
      <c r="K13" s="436"/>
    </row>
    <row r="14" spans="1:14" x14ac:dyDescent="0.2">
      <c r="A14" s="435" t="s">
        <v>490</v>
      </c>
      <c r="B14" s="436"/>
      <c r="C14" s="436"/>
      <c r="D14" s="436"/>
      <c r="E14" s="443"/>
      <c r="F14" s="439"/>
      <c r="G14" s="446">
        <f>'Page 2'!I39</f>
        <v>0</v>
      </c>
      <c r="H14" s="444">
        <f>'Page 2'!J39</f>
        <v>0</v>
      </c>
      <c r="I14" s="442"/>
      <c r="J14" s="439"/>
      <c r="K14" s="436"/>
      <c r="M14" s="445">
        <v>-2</v>
      </c>
      <c r="N14" s="679" t="s">
        <v>1328</v>
      </c>
    </row>
    <row r="15" spans="1:14" x14ac:dyDescent="0.2">
      <c r="A15" s="447" t="s">
        <v>491</v>
      </c>
      <c r="B15" s="448"/>
      <c r="C15" s="448"/>
      <c r="D15" s="448"/>
      <c r="E15" s="449"/>
      <c r="F15" s="439"/>
      <c r="G15" s="450">
        <f>'Page 2'!I40</f>
        <v>0</v>
      </c>
      <c r="H15" s="451">
        <f>'Page 2'!J40</f>
        <v>0</v>
      </c>
      <c r="I15" s="442"/>
      <c r="J15" s="439"/>
      <c r="K15" s="436"/>
      <c r="N15" s="452">
        <f>'Reserve balance'!D39</f>
        <v>0</v>
      </c>
    </row>
    <row r="16" spans="1:14" x14ac:dyDescent="0.2">
      <c r="A16" s="453" t="s">
        <v>492</v>
      </c>
      <c r="B16" s="448"/>
      <c r="C16" s="436"/>
      <c r="D16" s="436"/>
      <c r="E16" s="443"/>
      <c r="F16" s="454"/>
      <c r="G16" s="455">
        <f>'Page 2'!I41</f>
        <v>0</v>
      </c>
      <c r="H16" s="456">
        <f>'Page 2'!J41</f>
        <v>0</v>
      </c>
      <c r="I16" s="454"/>
      <c r="J16" s="439"/>
      <c r="K16" s="457"/>
    </row>
    <row r="17" spans="1:11" x14ac:dyDescent="0.2">
      <c r="A17" s="458" t="s">
        <v>493</v>
      </c>
      <c r="B17" s="601">
        <v>208208</v>
      </c>
      <c r="C17" s="464"/>
      <c r="D17" s="459">
        <f>'Page 1'!H43-SUM(D18:D23)</f>
        <v>3280262</v>
      </c>
      <c r="E17" s="443"/>
      <c r="F17" s="464">
        <v>0</v>
      </c>
      <c r="G17" s="514">
        <f>SUM(G11:G16)</f>
        <v>3244708</v>
      </c>
      <c r="H17" s="515">
        <f>SUM(H11:H16)</f>
        <v>4373582</v>
      </c>
      <c r="I17" s="464">
        <v>0</v>
      </c>
      <c r="J17" s="464">
        <v>0</v>
      </c>
      <c r="K17" s="460">
        <f>IF(C17="",B17,C17)+D17-E17-F17-I17-H17-J17</f>
        <v>-885112</v>
      </c>
    </row>
    <row r="18" spans="1:11" x14ac:dyDescent="0.2">
      <c r="A18" s="458" t="s">
        <v>494</v>
      </c>
      <c r="B18" s="459">
        <v>0</v>
      </c>
      <c r="C18" s="436"/>
      <c r="D18" s="460">
        <f>'Page 3'!F28</f>
        <v>300997</v>
      </c>
      <c r="E18" s="443"/>
      <c r="F18" s="464">
        <v>0</v>
      </c>
      <c r="G18" s="461">
        <f>'Page 3'!J13+'Page 3'!F18</f>
        <v>130135</v>
      </c>
      <c r="H18" s="598">
        <f>'Page 3'!G18+'Page 3'!K13</f>
        <v>300997</v>
      </c>
      <c r="I18" s="459">
        <f>'Page 3'!G17</f>
        <v>0</v>
      </c>
      <c r="J18" s="459">
        <f>'Page 3'!G19</f>
        <v>0</v>
      </c>
      <c r="K18" s="460">
        <f t="shared" ref="K18:K23" si="0">B18+D18-E18-F18-I18-H18-J18</f>
        <v>0</v>
      </c>
    </row>
    <row r="19" spans="1:11" x14ac:dyDescent="0.2">
      <c r="A19" s="458" t="s">
        <v>495</v>
      </c>
      <c r="B19" s="459">
        <v>0</v>
      </c>
      <c r="C19" s="436"/>
      <c r="D19" s="460">
        <f>'Page 4'!F17</f>
        <v>25169</v>
      </c>
      <c r="E19" s="443"/>
      <c r="F19" s="464">
        <v>0</v>
      </c>
      <c r="G19" s="513">
        <f>'Page 4'!H11</f>
        <v>13597</v>
      </c>
      <c r="H19" s="460">
        <f>'Page 4'!I11</f>
        <v>25169</v>
      </c>
      <c r="I19" s="442"/>
      <c r="J19" s="442"/>
      <c r="K19" s="460">
        <f t="shared" si="0"/>
        <v>0</v>
      </c>
    </row>
    <row r="20" spans="1:11" x14ac:dyDescent="0.2">
      <c r="A20" s="458" t="s">
        <v>496</v>
      </c>
      <c r="B20" s="459">
        <v>0</v>
      </c>
      <c r="C20" s="436"/>
      <c r="D20" s="460">
        <f>'Page 5'!H26</f>
        <v>0</v>
      </c>
      <c r="E20" s="443"/>
      <c r="F20" s="464">
        <v>0</v>
      </c>
      <c r="G20" s="513">
        <f>'Page 5'!N26</f>
        <v>0</v>
      </c>
      <c r="H20" s="460">
        <f>'Page 5'!O26</f>
        <v>0</v>
      </c>
      <c r="I20" s="442"/>
      <c r="J20" s="442"/>
      <c r="K20" s="460">
        <f t="shared" si="0"/>
        <v>0</v>
      </c>
    </row>
    <row r="21" spans="1:11" x14ac:dyDescent="0.2">
      <c r="A21" s="458" t="s">
        <v>497</v>
      </c>
      <c r="B21" s="459">
        <v>0</v>
      </c>
      <c r="C21" s="436"/>
      <c r="D21" s="460">
        <f>'Page 5'!H48</f>
        <v>0</v>
      </c>
      <c r="E21" s="443"/>
      <c r="F21" s="464">
        <v>0</v>
      </c>
      <c r="G21" s="513">
        <f>'Page 5'!N48</f>
        <v>0</v>
      </c>
      <c r="H21" s="460">
        <f>'Page 5'!O48</f>
        <v>0</v>
      </c>
      <c r="I21" s="442"/>
      <c r="J21" s="442"/>
      <c r="K21" s="460">
        <f t="shared" si="0"/>
        <v>0</v>
      </c>
    </row>
    <row r="22" spans="1:11" x14ac:dyDescent="0.2">
      <c r="A22" s="458" t="s">
        <v>498</v>
      </c>
      <c r="B22" s="460">
        <v>0</v>
      </c>
      <c r="C22" s="436"/>
      <c r="D22" s="460">
        <f>'Page 8'!G23</f>
        <v>56308</v>
      </c>
      <c r="E22" s="539">
        <f>'Page 8'!H23</f>
        <v>3729</v>
      </c>
      <c r="F22" s="459">
        <f>'Page 8'!I23</f>
        <v>0</v>
      </c>
      <c r="G22" s="513">
        <f>'Page 8'!J23</f>
        <v>53104</v>
      </c>
      <c r="H22" s="460">
        <f>'Page 8'!K23</f>
        <v>52579</v>
      </c>
      <c r="I22" s="461">
        <f>'Page 8'!M23</f>
        <v>0</v>
      </c>
      <c r="J22" s="459">
        <f>'Page 8'!L23</f>
        <v>0</v>
      </c>
      <c r="K22" s="460">
        <f t="shared" si="0"/>
        <v>0</v>
      </c>
    </row>
    <row r="23" spans="1:11" x14ac:dyDescent="0.2">
      <c r="A23" s="458" t="s">
        <v>499</v>
      </c>
      <c r="B23" s="460">
        <v>0</v>
      </c>
      <c r="C23" s="436"/>
      <c r="D23" s="460">
        <f>'Page 8'!G40</f>
        <v>79329</v>
      </c>
      <c r="E23" s="443"/>
      <c r="F23" s="459">
        <f>'Page 8'!I40</f>
        <v>0</v>
      </c>
      <c r="G23" s="463">
        <f>'Page 8'!J40</f>
        <v>79141</v>
      </c>
      <c r="H23" s="462">
        <f>'Page 8'!K40</f>
        <v>79329</v>
      </c>
      <c r="I23" s="459">
        <f>'Page 8'!M40</f>
        <v>0</v>
      </c>
      <c r="J23" s="459">
        <f>'Page 8'!L40</f>
        <v>0</v>
      </c>
      <c r="K23" s="460">
        <f t="shared" si="0"/>
        <v>0</v>
      </c>
    </row>
  </sheetData>
  <mergeCells count="4">
    <mergeCell ref="G8:G10"/>
    <mergeCell ref="H8:H10"/>
    <mergeCell ref="B1:C1"/>
    <mergeCell ref="D8:D10"/>
  </mergeCells>
  <conditionalFormatting sqref="B17:C17">
    <cfRule type="containsBlanks" dxfId="23" priority="6">
      <formula>LEN(TRIM(B17))=0</formula>
    </cfRule>
  </conditionalFormatting>
  <conditionalFormatting sqref="F17:F21">
    <cfRule type="containsBlanks" dxfId="22" priority="5">
      <formula>LEN(TRIM(F17))=0</formula>
    </cfRule>
  </conditionalFormatting>
  <conditionalFormatting sqref="G17:J17">
    <cfRule type="containsBlanks" dxfId="21" priority="1">
      <formula>LEN(TRIM(G17))=0</formula>
    </cfRule>
  </conditionalFormatting>
  <conditionalFormatting sqref="I5">
    <cfRule type="containsBlanks" priority="11">
      <formula>LEN(TRIM(I5))=0</formula>
    </cfRule>
  </conditionalFormatting>
  <conditionalFormatting sqref="I5:J5">
    <cfRule type="containsBlanks" dxfId="20" priority="8">
      <formula>LEN(TRIM(I5))=0</formula>
    </cfRule>
  </conditionalFormatting>
  <dataValidations count="1">
    <dataValidation allowBlank="1" showInputMessage="1" showErrorMessage="1" promptTitle="Reversions" prompt="Enter as a positive amount." sqref="F17:F21" xr:uid="{00000000-0002-0000-0C00-000000000000}"/>
  </dataValidations>
  <hyperlinks>
    <hyperlink ref="B9:B10" r:id="rId1" display="Beginning" xr:uid="{00000000-0004-0000-0C00-000000000000}"/>
    <hyperlink ref="B10" location="BegProjectBalances" display="Project Balance" xr:uid="{00000000-0004-0000-0C00-000001000000}"/>
    <hyperlink ref="B9" location="BegProjectBalances" display="Beginning" xr:uid="{00000000-0004-0000-0C00-000002000000}"/>
    <hyperlink ref="C8:C10" location="AdjustedBeginningProjectBalance" display="Adjusted " xr:uid="{00000000-0004-0000-0C00-000003000000}"/>
    <hyperlink ref="H4" location="SumADM" display="Avg. Daily Membership" xr:uid="{00000000-0004-0000-0C00-000004000000}"/>
    <hyperlink ref="A3" location="SumGen" display="Instructions" xr:uid="{548042B0-8837-4214-81D7-D4CB6B7B3237}"/>
  </hyperlinks>
  <pageMargins left="0.7" right="0.7" top="0.75" bottom="0.75" header="0.3" footer="0.3"/>
  <pageSetup scale="46" orientation="landscape" r:id="rId2"/>
  <headerFooter>
    <oddFooter>&amp;LRev. 8/25 Arizona Department of Education and Auditor General&amp;CFY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AA46"/>
  <sheetViews>
    <sheetView showGridLines="0" topLeftCell="A37" workbookViewId="0">
      <selection activeCell="E59" sqref="E59"/>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18" s="320" customFormat="1" x14ac:dyDescent="0.2">
      <c r="B1" s="319" t="s">
        <v>0</v>
      </c>
      <c r="C1" s="582" t="str">
        <f>'Cover Page'!D1</f>
        <v>ASU Preparatory Academy- Polytechnic MS</v>
      </c>
      <c r="D1" s="582"/>
      <c r="E1" s="582"/>
      <c r="G1" s="319" t="s">
        <v>1</v>
      </c>
      <c r="H1" s="942" t="str">
        <f>'Cover Page'!M1</f>
        <v>Maricopa</v>
      </c>
      <c r="I1" s="942"/>
      <c r="J1" s="321"/>
      <c r="K1" s="319" t="s">
        <v>2</v>
      </c>
      <c r="L1" s="322" t="str">
        <f>'Cover Page'!R1</f>
        <v>078251000</v>
      </c>
      <c r="M1" s="323"/>
      <c r="N1" s="323"/>
      <c r="O1" s="324"/>
      <c r="P1" s="325"/>
      <c r="R1" s="326"/>
    </row>
    <row r="2" spans="1:18" s="320" customFormat="1" x14ac:dyDescent="0.2">
      <c r="B2" s="319"/>
      <c r="C2" s="323"/>
      <c r="D2" s="323"/>
      <c r="E2" s="323"/>
      <c r="G2" s="319"/>
      <c r="H2" s="323"/>
      <c r="I2" s="323"/>
      <c r="J2" s="321"/>
      <c r="K2" s="319"/>
      <c r="L2" s="465"/>
      <c r="M2" s="323"/>
      <c r="N2" s="323"/>
      <c r="O2" s="324"/>
      <c r="P2" s="325"/>
      <c r="R2" s="326"/>
    </row>
    <row r="3" spans="1:18" s="466" customFormat="1" ht="24.75" customHeight="1" x14ac:dyDescent="0.2">
      <c r="A3" s="985" t="s">
        <v>1130</v>
      </c>
      <c r="B3" s="985"/>
      <c r="C3" s="985"/>
      <c r="D3" s="985"/>
      <c r="E3" s="985"/>
      <c r="F3" s="985"/>
      <c r="G3" s="985"/>
      <c r="H3" s="985"/>
      <c r="J3" s="467"/>
      <c r="K3" s="468"/>
      <c r="L3" s="469"/>
      <c r="Q3" s="470"/>
      <c r="R3" s="471"/>
    </row>
    <row r="4" spans="1:18" s="466" customFormat="1" ht="16.5" customHeight="1" x14ac:dyDescent="0.2">
      <c r="A4" s="472"/>
      <c r="B4" s="472"/>
      <c r="C4" s="472"/>
      <c r="D4" s="472"/>
      <c r="E4" s="472"/>
      <c r="F4" s="472"/>
      <c r="G4" s="472"/>
      <c r="H4" s="472"/>
      <c r="J4" s="467"/>
      <c r="K4" s="468"/>
      <c r="L4" s="469"/>
      <c r="Q4" s="470"/>
      <c r="R4" s="471"/>
    </row>
    <row r="5" spans="1:18" x14ac:dyDescent="0.2">
      <c r="A5" s="982" t="s">
        <v>1126</v>
      </c>
      <c r="B5" s="982"/>
    </row>
    <row r="7" spans="1:18" x14ac:dyDescent="0.2">
      <c r="C7" s="473" t="s">
        <v>500</v>
      </c>
      <c r="R7" s="48" t="s">
        <v>501</v>
      </c>
    </row>
    <row r="8" spans="1:18" x14ac:dyDescent="0.2">
      <c r="A8" s="474" t="s">
        <v>1131</v>
      </c>
      <c r="C8" s="475"/>
    </row>
    <row r="9" spans="1:18" x14ac:dyDescent="0.2">
      <c r="A9" s="476" t="s">
        <v>24</v>
      </c>
      <c r="B9" s="680" t="s">
        <v>1329</v>
      </c>
      <c r="C9" s="460">
        <v>208207</v>
      </c>
    </row>
    <row r="10" spans="1:18" x14ac:dyDescent="0.2">
      <c r="A10" s="478" t="s">
        <v>1132</v>
      </c>
      <c r="C10" s="475"/>
    </row>
    <row r="11" spans="1:18" x14ac:dyDescent="0.2">
      <c r="A11" s="476" t="s">
        <v>26</v>
      </c>
      <c r="B11" s="680" t="s">
        <v>1330</v>
      </c>
      <c r="C11" s="460">
        <f>SUM(Summary!K17:K23)</f>
        <v>-885112</v>
      </c>
    </row>
    <row r="12" spans="1:18" x14ac:dyDescent="0.2">
      <c r="A12" s="986" t="s">
        <v>1335</v>
      </c>
      <c r="B12" s="986"/>
    </row>
    <row r="13" spans="1:18" x14ac:dyDescent="0.2">
      <c r="A13" s="476" t="s">
        <v>502</v>
      </c>
      <c r="B13" s="477" t="s">
        <v>503</v>
      </c>
      <c r="C13" s="102">
        <f>C11</f>
        <v>-885112</v>
      </c>
    </row>
    <row r="14" spans="1:18" x14ac:dyDescent="0.2">
      <c r="A14" s="476" t="s">
        <v>504</v>
      </c>
      <c r="B14" s="681" t="s">
        <v>1331</v>
      </c>
      <c r="C14" s="102">
        <v>0</v>
      </c>
    </row>
    <row r="15" spans="1:18" x14ac:dyDescent="0.2">
      <c r="A15" s="476" t="s">
        <v>505</v>
      </c>
      <c r="B15" s="667" t="s">
        <v>1332</v>
      </c>
      <c r="C15" s="102">
        <v>0</v>
      </c>
    </row>
    <row r="16" spans="1:18" x14ac:dyDescent="0.2">
      <c r="A16" s="476" t="s">
        <v>506</v>
      </c>
      <c r="B16" s="667" t="s">
        <v>1333</v>
      </c>
      <c r="C16" s="102">
        <v>0</v>
      </c>
    </row>
    <row r="17" spans="1:27" x14ac:dyDescent="0.2">
      <c r="A17" s="476" t="s">
        <v>507</v>
      </c>
      <c r="B17" s="667" t="s">
        <v>1334</v>
      </c>
      <c r="C17" s="102">
        <v>0</v>
      </c>
    </row>
    <row r="18" spans="1:27" x14ac:dyDescent="0.2">
      <c r="A18" s="476" t="s">
        <v>508</v>
      </c>
      <c r="B18" t="s">
        <v>509</v>
      </c>
      <c r="C18" s="102">
        <v>0</v>
      </c>
    </row>
    <row r="19" spans="1:27" x14ac:dyDescent="0.2">
      <c r="A19" s="476" t="s">
        <v>510</v>
      </c>
      <c r="B19" s="479" t="s">
        <v>511</v>
      </c>
      <c r="C19" s="102">
        <v>0</v>
      </c>
    </row>
    <row r="20" spans="1:27" x14ac:dyDescent="0.2">
      <c r="A20" s="7" t="s">
        <v>512</v>
      </c>
      <c r="B20" s="479" t="s">
        <v>511</v>
      </c>
      <c r="C20" s="102">
        <v>0</v>
      </c>
    </row>
    <row r="21" spans="1:27" x14ac:dyDescent="0.2">
      <c r="A21" s="7" t="s">
        <v>513</v>
      </c>
      <c r="B21" t="s">
        <v>1127</v>
      </c>
      <c r="C21" s="513">
        <f>IF(ROUND(SUM(C13:C20),0)=ROUND(C11,0),SUM(C13:C20),"Must equal line 2")</f>
        <v>-885112</v>
      </c>
    </row>
    <row r="22" spans="1:27" x14ac:dyDescent="0.2">
      <c r="A22" s="480"/>
    </row>
    <row r="23" spans="1:27" x14ac:dyDescent="0.2">
      <c r="A23" s="480"/>
    </row>
    <row r="24" spans="1:27" x14ac:dyDescent="0.2">
      <c r="A24" s="565"/>
      <c r="B24" s="565"/>
      <c r="D24" s="565"/>
      <c r="E24" s="565"/>
      <c r="F24" s="565"/>
      <c r="G24" s="565"/>
      <c r="H24" s="565"/>
    </row>
    <row r="25" spans="1:27" ht="39" customHeight="1" x14ac:dyDescent="0.2">
      <c r="A25" s="988" t="s">
        <v>1120</v>
      </c>
      <c r="B25" s="988"/>
      <c r="F25" s="593"/>
      <c r="G25" s="594" t="s">
        <v>1121</v>
      </c>
      <c r="H25" s="481"/>
      <c r="AA25" s="48" t="s">
        <v>514</v>
      </c>
    </row>
    <row r="26" spans="1:27" ht="28.5" customHeight="1" x14ac:dyDescent="0.2">
      <c r="A26" s="987" t="s">
        <v>24</v>
      </c>
      <c r="B26" s="990" t="s">
        <v>1128</v>
      </c>
      <c r="C26" s="990"/>
      <c r="D26" s="990"/>
      <c r="E26" s="991"/>
      <c r="F26" s="487" t="s">
        <v>515</v>
      </c>
      <c r="G26" s="599" t="s">
        <v>1392</v>
      </c>
      <c r="AA26" s="48" t="s">
        <v>515</v>
      </c>
    </row>
    <row r="27" spans="1:27" x14ac:dyDescent="0.2">
      <c r="A27" s="987"/>
      <c r="B27" s="595"/>
      <c r="C27" s="595"/>
      <c r="D27" s="595"/>
      <c r="E27" s="595"/>
      <c r="AA27" s="48" t="s">
        <v>515</v>
      </c>
    </row>
    <row r="28" spans="1:27" ht="44.25" customHeight="1" x14ac:dyDescent="0.2">
      <c r="A28" s="989" t="s">
        <v>1129</v>
      </c>
      <c r="B28" s="989"/>
      <c r="C28" s="989"/>
      <c r="D28" s="989"/>
      <c r="E28" s="989"/>
      <c r="F28" s="989"/>
    </row>
    <row r="29" spans="1:27" ht="20.25" customHeight="1" x14ac:dyDescent="0.2">
      <c r="A29" s="559" t="s">
        <v>26</v>
      </c>
      <c r="B29" s="983" t="s">
        <v>1122</v>
      </c>
      <c r="C29" s="983"/>
      <c r="D29" s="983"/>
      <c r="E29" s="984"/>
      <c r="F29" s="487" t="s">
        <v>514</v>
      </c>
      <c r="H29" s="481"/>
    </row>
    <row r="30" spans="1:27" ht="29.25" customHeight="1" x14ac:dyDescent="0.2">
      <c r="A30" s="559" t="s">
        <v>516</v>
      </c>
      <c r="B30" s="983" t="s">
        <v>1123</v>
      </c>
      <c r="C30" s="983"/>
      <c r="D30" s="983"/>
      <c r="E30" s="984"/>
      <c r="F30" s="487" t="s">
        <v>514</v>
      </c>
      <c r="G30" s="7"/>
      <c r="H30" s="600"/>
      <c r="AA30" s="48"/>
    </row>
    <row r="31" spans="1:27" ht="12" customHeight="1" x14ac:dyDescent="0.2">
      <c r="A31" s="482"/>
      <c r="B31" s="584"/>
      <c r="C31" s="584"/>
      <c r="D31" s="584"/>
      <c r="E31" s="584"/>
      <c r="F31" s="7"/>
      <c r="G31" s="7"/>
      <c r="H31" s="5"/>
      <c r="AA31" s="48"/>
    </row>
    <row r="32" spans="1:27" ht="15.75" customHeight="1" x14ac:dyDescent="0.2">
      <c r="A32" s="682" t="s">
        <v>1336</v>
      </c>
      <c r="B32" s="561"/>
      <c r="C32" s="561"/>
      <c r="D32" s="561"/>
      <c r="E32" s="561"/>
      <c r="F32" s="561"/>
      <c r="G32" s="483"/>
      <c r="H32" s="484"/>
    </row>
    <row r="33" spans="1:10" ht="11.25" customHeight="1" x14ac:dyDescent="0.2">
      <c r="A33" s="585"/>
      <c r="B33" s="544"/>
      <c r="C33" s="544"/>
      <c r="D33" s="544"/>
      <c r="E33" s="544"/>
      <c r="F33" s="544"/>
      <c r="G33" s="483"/>
      <c r="H33" s="484"/>
    </row>
    <row r="34" spans="1:10" ht="28.5" customHeight="1" x14ac:dyDescent="0.2">
      <c r="A34" s="560" t="s">
        <v>31</v>
      </c>
      <c r="B34" s="562" t="s">
        <v>517</v>
      </c>
      <c r="C34" s="562" t="s">
        <v>1337</v>
      </c>
      <c r="D34" s="562" t="s">
        <v>1338</v>
      </c>
      <c r="E34" s="973" t="s">
        <v>518</v>
      </c>
      <c r="F34" s="974"/>
      <c r="G34" s="974"/>
      <c r="H34" s="974"/>
      <c r="I34" s="974"/>
      <c r="J34" s="975"/>
    </row>
    <row r="35" spans="1:10" ht="39.75" customHeight="1" x14ac:dyDescent="0.2">
      <c r="A35" s="560"/>
      <c r="B35" s="634"/>
      <c r="C35" s="102"/>
      <c r="D35" s="102"/>
      <c r="E35" s="976"/>
      <c r="F35" s="977"/>
      <c r="G35" s="977"/>
      <c r="H35" s="977"/>
      <c r="I35" s="977"/>
      <c r="J35" s="978"/>
    </row>
    <row r="36" spans="1:10" ht="39.75" customHeight="1" x14ac:dyDescent="0.2">
      <c r="A36" s="560"/>
      <c r="B36" s="634"/>
      <c r="C36" s="102"/>
      <c r="D36" s="102"/>
      <c r="E36" s="979"/>
      <c r="F36" s="980"/>
      <c r="G36" s="980"/>
      <c r="H36" s="980"/>
      <c r="I36" s="980"/>
      <c r="J36" s="981"/>
    </row>
    <row r="37" spans="1:10" ht="39.75" customHeight="1" x14ac:dyDescent="0.2">
      <c r="A37" s="560"/>
      <c r="B37" s="634"/>
      <c r="C37" s="102"/>
      <c r="D37" s="102"/>
      <c r="E37" s="979"/>
      <c r="F37" s="980"/>
      <c r="G37" s="980"/>
      <c r="H37" s="980"/>
      <c r="I37" s="980"/>
      <c r="J37" s="981"/>
    </row>
    <row r="38" spans="1:10" ht="39.75" customHeight="1" x14ac:dyDescent="0.2">
      <c r="A38" s="560"/>
      <c r="B38" s="634"/>
      <c r="C38" s="102"/>
      <c r="D38" s="102"/>
      <c r="E38" s="979"/>
      <c r="F38" s="980"/>
      <c r="G38" s="980"/>
      <c r="H38" s="980"/>
      <c r="I38" s="980"/>
      <c r="J38" s="981"/>
    </row>
    <row r="39" spans="1:10" ht="16.5" customHeight="1" x14ac:dyDescent="0.2">
      <c r="A39" s="585"/>
      <c r="B39" s="563" t="s">
        <v>519</v>
      </c>
      <c r="C39" s="548">
        <f>SUM(C35:C38)</f>
        <v>0</v>
      </c>
      <c r="D39" s="548">
        <f>SUM(D35:D38)</f>
        <v>0</v>
      </c>
      <c r="E39" s="485"/>
      <c r="F39" s="477"/>
      <c r="G39" s="477"/>
      <c r="H39" s="477"/>
      <c r="I39" s="477"/>
    </row>
    <row r="40" spans="1:10" ht="16.5" customHeight="1" x14ac:dyDescent="0.2">
      <c r="A40" s="585"/>
      <c r="B40" s="584"/>
      <c r="C40" s="584"/>
      <c r="D40" s="485"/>
      <c r="E40" s="485"/>
      <c r="F40" s="477"/>
      <c r="G40" s="477"/>
      <c r="H40" s="477"/>
      <c r="I40" s="477"/>
    </row>
    <row r="41" spans="1:10" ht="19.5" customHeight="1" x14ac:dyDescent="0.2">
      <c r="A41" s="560" t="s">
        <v>33</v>
      </c>
      <c r="B41" s="683" t="s">
        <v>1339</v>
      </c>
      <c r="C41" s="173"/>
      <c r="D41" s="173"/>
      <c r="E41" s="173"/>
      <c r="F41" s="173"/>
      <c r="G41" s="173"/>
      <c r="H41" s="173"/>
      <c r="I41" s="173"/>
    </row>
    <row r="42" spans="1:10" x14ac:dyDescent="0.2">
      <c r="A42" s="486"/>
      <c r="B42" s="964" t="s">
        <v>1489</v>
      </c>
      <c r="C42" s="965"/>
      <c r="D42" s="965"/>
      <c r="E42" s="965"/>
      <c r="F42" s="965"/>
      <c r="G42" s="965"/>
      <c r="H42" s="965"/>
      <c r="I42" s="966"/>
    </row>
    <row r="43" spans="1:10" x14ac:dyDescent="0.2">
      <c r="A43" s="4"/>
      <c r="B43" s="967"/>
      <c r="C43" s="968"/>
      <c r="D43" s="968"/>
      <c r="E43" s="968"/>
      <c r="F43" s="968"/>
      <c r="G43" s="968"/>
      <c r="H43" s="968"/>
      <c r="I43" s="969"/>
    </row>
    <row r="44" spans="1:10" ht="12.75" customHeight="1" x14ac:dyDescent="0.2">
      <c r="A44" s="4"/>
      <c r="B44" s="967"/>
      <c r="C44" s="968"/>
      <c r="D44" s="968"/>
      <c r="E44" s="968"/>
      <c r="F44" s="968"/>
      <c r="G44" s="968"/>
      <c r="H44" s="968"/>
      <c r="I44" s="969"/>
    </row>
    <row r="45" spans="1:10" x14ac:dyDescent="0.2">
      <c r="A45" s="4"/>
      <c r="B45" s="967"/>
      <c r="C45" s="968"/>
      <c r="D45" s="968"/>
      <c r="E45" s="968"/>
      <c r="F45" s="968"/>
      <c r="G45" s="968"/>
      <c r="H45" s="968"/>
      <c r="I45" s="969"/>
    </row>
    <row r="46" spans="1:10" x14ac:dyDescent="0.2">
      <c r="A46" s="4"/>
      <c r="B46" s="970"/>
      <c r="C46" s="971"/>
      <c r="D46" s="971"/>
      <c r="E46" s="971"/>
      <c r="F46" s="971"/>
      <c r="G46" s="971"/>
      <c r="H46" s="971"/>
      <c r="I46" s="972"/>
    </row>
  </sheetData>
  <mergeCells count="16">
    <mergeCell ref="H1:I1"/>
    <mergeCell ref="A5:B5"/>
    <mergeCell ref="B30:E30"/>
    <mergeCell ref="A3:H3"/>
    <mergeCell ref="A12:B12"/>
    <mergeCell ref="A26:A27"/>
    <mergeCell ref="A25:B25"/>
    <mergeCell ref="A28:F28"/>
    <mergeCell ref="B29:E29"/>
    <mergeCell ref="B26:E26"/>
    <mergeCell ref="B42:I46"/>
    <mergeCell ref="E34:J34"/>
    <mergeCell ref="E35:J35"/>
    <mergeCell ref="E36:J36"/>
    <mergeCell ref="E37:J37"/>
    <mergeCell ref="E38:J38"/>
  </mergeCells>
  <conditionalFormatting sqref="B35:B38">
    <cfRule type="expression" dxfId="19" priority="9">
      <formula>$F$30="No"</formula>
    </cfRule>
  </conditionalFormatting>
  <conditionalFormatting sqref="B42">
    <cfRule type="expression" dxfId="18" priority="5">
      <formula>$F$30="No"</formula>
    </cfRule>
    <cfRule type="containsBlanks" dxfId="17" priority="6">
      <formula>LEN(TRIM(B42))=0</formula>
    </cfRule>
  </conditionalFormatting>
  <conditionalFormatting sqref="B35:E38">
    <cfRule type="containsBlanks" dxfId="16" priority="8">
      <formula>LEN(TRIM(B35))=0</formula>
    </cfRule>
  </conditionalFormatting>
  <conditionalFormatting sqref="C13:C20 F26:G26">
    <cfRule type="containsBlanks" dxfId="15" priority="34">
      <formula>LEN(TRIM(C13))=0</formula>
    </cfRule>
  </conditionalFormatting>
  <conditionalFormatting sqref="C39:D39">
    <cfRule type="containsBlanks" dxfId="14" priority="3">
      <formula>LEN(TRIM(C39))=0</formula>
    </cfRule>
  </conditionalFormatting>
  <conditionalFormatting sqref="E35:E38">
    <cfRule type="expression" dxfId="13" priority="7">
      <formula>$F$30="No"</formula>
    </cfRule>
  </conditionalFormatting>
  <conditionalFormatting sqref="F29:F30">
    <cfRule type="containsBlanks" dxfId="12" priority="1">
      <formula>LEN(TRIM(F29))=0</formula>
    </cfRule>
  </conditionalFormatting>
  <dataValidations count="5">
    <dataValidation type="list" allowBlank="1" showInputMessage="1" showErrorMessage="1" sqref="F31" xr:uid="{00000000-0002-0000-0D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D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D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D00-000003000000}">
      <formula1>9</formula1>
    </dataValidation>
    <dataValidation type="list" allowBlank="1" showInputMessage="1" showErrorMessage="1" sqref="F26 F29:F30" xr:uid="{00000000-0002-0000-0D00-000004000000}">
      <formula1>$AA$25:$AA$26</formula1>
    </dataValidation>
  </dataValidations>
  <hyperlinks>
    <hyperlink ref="A12" location="ReserveBalSecAl3" display="FY 2023 ending reserve details:" xr:uid="{00000000-0004-0000-0D00-000000000000}"/>
    <hyperlink ref="A18" location="ReserveBalSecAl3f" display="3.f" xr:uid="{00000000-0004-0000-0D00-000001000000}"/>
    <hyperlink ref="A19" location="ReserveBalSecAl3g" display="3.g" xr:uid="{00000000-0004-0000-0D00-000002000000}"/>
    <hyperlink ref="A13" location="ReserveBalSecAl3a" display="3.a" xr:uid="{00000000-0004-0000-0D00-000003000000}"/>
    <hyperlink ref="A16" location="ReserveBalSecAl3d" display="3.d" xr:uid="{00000000-0004-0000-0D00-000004000000}"/>
    <hyperlink ref="A15" location="ReserveBalSecAl3c" display="3.c" xr:uid="{00000000-0004-0000-0D00-000005000000}"/>
    <hyperlink ref="A14" location="ReserveBalSecAl3b" display="3.b" xr:uid="{00000000-0004-0000-0D00-000006000000}"/>
    <hyperlink ref="A11" location="ReserveBalSecAl2" display="2." xr:uid="{00000000-0004-0000-0D00-000007000000}"/>
    <hyperlink ref="A9" location="ReserveBalSecAl1" display="1." xr:uid="{00000000-0004-0000-0D00-000008000000}"/>
    <hyperlink ref="A5" location="ReserveBalSecA" display="A. FY 2023 change in reserve amounts and planned allocations" xr:uid="{00000000-0004-0000-0D00-000009000000}"/>
    <hyperlink ref="A17" location="ReserveBalSecAl3e" display="3.e" xr:uid="{00000000-0004-0000-0D00-00000A00000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workbookViewId="0">
      <selection activeCell="D11" sqref="D11"/>
    </sheetView>
  </sheetViews>
  <sheetFormatPr defaultColWidth="9.6640625" defaultRowHeight="15" x14ac:dyDescent="0.25"/>
  <cols>
    <col min="1" max="1" width="25.6640625" style="493" customWidth="1"/>
    <col min="2" max="2" width="76.6640625" style="493" customWidth="1"/>
    <col min="3" max="4" width="23.6640625" style="493" customWidth="1"/>
    <col min="5" max="6" width="26.83203125" style="493" customWidth="1"/>
    <col min="7" max="7" width="45.83203125" style="493" customWidth="1"/>
    <col min="8" max="11" width="9.6640625" style="493" customWidth="1"/>
    <col min="12" max="12" width="8.83203125" style="493" hidden="1" customWidth="1"/>
    <col min="13" max="16" width="9.6640625" style="493" customWidth="1"/>
    <col min="17" max="16384" width="9.6640625" style="493"/>
  </cols>
  <sheetData>
    <row r="1" spans="1:12" x14ac:dyDescent="0.25">
      <c r="A1" s="491" t="s">
        <v>4</v>
      </c>
      <c r="B1" s="492" t="str">
        <f>'Cover Page'!D1</f>
        <v>ASU Preparatory Academy- Polytechnic MS</v>
      </c>
      <c r="D1" s="995" t="s">
        <v>726</v>
      </c>
      <c r="E1" s="995"/>
    </row>
    <row r="2" spans="1:12" x14ac:dyDescent="0.25">
      <c r="A2" s="494" t="s">
        <v>2</v>
      </c>
      <c r="B2" s="495" t="str">
        <f>'Cover Page'!R1</f>
        <v>078251000</v>
      </c>
      <c r="D2" s="639"/>
    </row>
    <row r="3" spans="1:12" x14ac:dyDescent="0.25">
      <c r="A3" s="494" t="s">
        <v>1</v>
      </c>
      <c r="B3" s="492" t="str">
        <f>'Cover Page'!M1</f>
        <v>Maricopa</v>
      </c>
    </row>
    <row r="4" spans="1:12" x14ac:dyDescent="0.25">
      <c r="D4" s="992" t="s">
        <v>530</v>
      </c>
      <c r="E4" s="993"/>
      <c r="F4" s="993"/>
      <c r="G4" s="994"/>
    </row>
    <row r="6" spans="1:12" ht="43.5" x14ac:dyDescent="0.25">
      <c r="A6" s="496" t="s">
        <v>531</v>
      </c>
      <c r="B6" s="497" t="s">
        <v>532</v>
      </c>
      <c r="C6" s="496" t="s">
        <v>533</v>
      </c>
      <c r="D6" s="498" t="s">
        <v>534</v>
      </c>
      <c r="E6" s="496" t="s">
        <v>535</v>
      </c>
      <c r="F6" s="496" t="s">
        <v>536</v>
      </c>
      <c r="G6" s="496" t="s">
        <v>537</v>
      </c>
    </row>
    <row r="7" spans="1:12" x14ac:dyDescent="0.25">
      <c r="A7" s="499" t="s">
        <v>538</v>
      </c>
      <c r="B7" s="500" t="s">
        <v>538</v>
      </c>
      <c r="C7" s="501" t="str">
        <f>B2</f>
        <v>078251000</v>
      </c>
      <c r="D7" s="693">
        <v>328.39800000000002</v>
      </c>
      <c r="E7" s="9">
        <v>101</v>
      </c>
      <c r="F7" s="11"/>
      <c r="G7" s="12"/>
      <c r="L7" s="493" t="s">
        <v>539</v>
      </c>
    </row>
    <row r="8" spans="1:12" ht="13.5" customHeight="1" x14ac:dyDescent="0.25">
      <c r="A8" s="505" t="s">
        <v>540</v>
      </c>
      <c r="B8" s="506"/>
      <c r="C8" s="506"/>
      <c r="D8" s="506"/>
      <c r="E8" s="9"/>
      <c r="F8" s="11"/>
      <c r="G8" s="9"/>
      <c r="L8" s="493" t="s">
        <v>541</v>
      </c>
    </row>
    <row r="9" spans="1:12" x14ac:dyDescent="0.25">
      <c r="A9" s="499" t="s">
        <v>542</v>
      </c>
      <c r="B9" s="506"/>
      <c r="C9" s="506"/>
      <c r="D9" s="506"/>
      <c r="E9" s="506"/>
      <c r="F9" s="11"/>
      <c r="G9" s="506"/>
      <c r="L9" s="493" t="s">
        <v>543</v>
      </c>
    </row>
    <row r="10" spans="1:12" x14ac:dyDescent="0.25">
      <c r="A10" s="499" t="s">
        <v>544</v>
      </c>
      <c r="B10" s="9" t="s">
        <v>1393</v>
      </c>
      <c r="C10" s="10" t="s">
        <v>1394</v>
      </c>
      <c r="D10" s="768">
        <v>328.39800000000002</v>
      </c>
      <c r="E10" s="9">
        <v>101</v>
      </c>
      <c r="F10" s="11">
        <v>300</v>
      </c>
      <c r="G10" s="12"/>
      <c r="L10" s="493" t="s">
        <v>545</v>
      </c>
    </row>
    <row r="11" spans="1:12" x14ac:dyDescent="0.25">
      <c r="A11" s="499" t="s">
        <v>546</v>
      </c>
      <c r="B11" s="9"/>
      <c r="C11" s="10"/>
      <c r="D11" s="693"/>
      <c r="E11" s="9"/>
      <c r="F11" s="11"/>
      <c r="G11" s="12"/>
      <c r="L11" s="493" t="s">
        <v>547</v>
      </c>
    </row>
    <row r="12" spans="1:12" x14ac:dyDescent="0.25">
      <c r="A12" s="499" t="s">
        <v>548</v>
      </c>
      <c r="B12" s="9"/>
      <c r="C12" s="10"/>
      <c r="D12" s="693"/>
      <c r="E12" s="9"/>
      <c r="F12" s="11"/>
      <c r="G12" s="12"/>
      <c r="L12" s="493" t="s">
        <v>549</v>
      </c>
    </row>
    <row r="13" spans="1:12" x14ac:dyDescent="0.25">
      <c r="A13" s="499" t="s">
        <v>550</v>
      </c>
      <c r="B13" s="9"/>
      <c r="C13" s="10"/>
      <c r="D13" s="693"/>
      <c r="E13" s="9"/>
      <c r="F13" s="11"/>
      <c r="G13" s="12"/>
      <c r="L13" s="493" t="s">
        <v>551</v>
      </c>
    </row>
    <row r="14" spans="1:12" x14ac:dyDescent="0.25">
      <c r="A14" s="499" t="s">
        <v>552</v>
      </c>
      <c r="B14" s="9"/>
      <c r="C14" s="10"/>
      <c r="D14" s="693"/>
      <c r="E14" s="9"/>
      <c r="F14" s="11"/>
      <c r="G14" s="12"/>
      <c r="L14" s="493" t="s">
        <v>553</v>
      </c>
    </row>
    <row r="15" spans="1:12" x14ac:dyDescent="0.25">
      <c r="A15" s="499" t="s">
        <v>554</v>
      </c>
      <c r="B15" s="9"/>
      <c r="C15" s="10"/>
      <c r="D15" s="693"/>
      <c r="E15" s="9"/>
      <c r="F15" s="11"/>
      <c r="G15" s="12"/>
      <c r="L15" s="493" t="s">
        <v>555</v>
      </c>
    </row>
    <row r="16" spans="1:12" x14ac:dyDescent="0.25">
      <c r="A16" s="499" t="s">
        <v>556</v>
      </c>
      <c r="B16" s="9"/>
      <c r="C16" s="10"/>
      <c r="D16" s="693"/>
      <c r="E16" s="9"/>
      <c r="F16" s="11"/>
      <c r="G16" s="12"/>
      <c r="L16" s="493" t="s">
        <v>557</v>
      </c>
    </row>
    <row r="17" spans="1:12" x14ac:dyDescent="0.25">
      <c r="A17" s="499" t="s">
        <v>558</v>
      </c>
      <c r="B17" s="9"/>
      <c r="C17" s="10"/>
      <c r="D17" s="693"/>
      <c r="E17" s="9"/>
      <c r="F17" s="11"/>
      <c r="G17" s="12"/>
      <c r="L17" s="493" t="s">
        <v>559</v>
      </c>
    </row>
    <row r="18" spans="1:12" x14ac:dyDescent="0.25">
      <c r="A18" s="499" t="s">
        <v>560</v>
      </c>
      <c r="B18" s="9"/>
      <c r="C18" s="10"/>
      <c r="D18" s="693"/>
      <c r="E18" s="9"/>
      <c r="F18" s="11"/>
      <c r="G18" s="12"/>
      <c r="L18" s="493" t="s">
        <v>561</v>
      </c>
    </row>
    <row r="19" spans="1:12" x14ac:dyDescent="0.25">
      <c r="A19" s="499" t="s">
        <v>562</v>
      </c>
      <c r="B19" s="9"/>
      <c r="C19" s="10"/>
      <c r="D19" s="693"/>
      <c r="E19" s="9"/>
      <c r="F19" s="11"/>
      <c r="G19" s="12"/>
      <c r="L19" s="493" t="s">
        <v>563</v>
      </c>
    </row>
    <row r="20" spans="1:12" x14ac:dyDescent="0.25">
      <c r="A20" s="499" t="s">
        <v>564</v>
      </c>
      <c r="B20" s="9"/>
      <c r="C20" s="10"/>
      <c r="D20" s="693"/>
      <c r="E20" s="9"/>
      <c r="F20" s="11"/>
      <c r="G20" s="12"/>
      <c r="L20" s="493" t="s">
        <v>565</v>
      </c>
    </row>
    <row r="21" spans="1:12" x14ac:dyDescent="0.25">
      <c r="A21" s="499" t="s">
        <v>566</v>
      </c>
      <c r="B21" s="9"/>
      <c r="C21" s="10"/>
      <c r="D21" s="693"/>
      <c r="E21" s="9"/>
      <c r="F21" s="11"/>
      <c r="G21" s="12"/>
      <c r="L21" s="493" t="s">
        <v>567</v>
      </c>
    </row>
    <row r="22" spans="1:12" x14ac:dyDescent="0.25">
      <c r="A22" s="499" t="s">
        <v>568</v>
      </c>
      <c r="B22" s="9"/>
      <c r="C22" s="10"/>
      <c r="D22" s="693"/>
      <c r="E22" s="9"/>
      <c r="F22" s="11"/>
      <c r="G22" s="12"/>
      <c r="L22" s="493" t="s">
        <v>569</v>
      </c>
    </row>
    <row r="23" spans="1:12" x14ac:dyDescent="0.25">
      <c r="A23" s="499" t="s">
        <v>570</v>
      </c>
      <c r="B23" s="9"/>
      <c r="C23" s="10"/>
      <c r="D23" s="693"/>
      <c r="E23" s="9"/>
      <c r="F23" s="11"/>
      <c r="G23" s="12"/>
      <c r="L23" s="493" t="s">
        <v>571</v>
      </c>
    </row>
    <row r="24" spans="1:12" x14ac:dyDescent="0.25">
      <c r="A24" s="499" t="s">
        <v>572</v>
      </c>
      <c r="B24" s="9"/>
      <c r="C24" s="10"/>
      <c r="D24" s="693"/>
      <c r="E24" s="9"/>
      <c r="F24" s="11"/>
      <c r="G24" s="12"/>
      <c r="L24" s="493" t="s">
        <v>573</v>
      </c>
    </row>
    <row r="25" spans="1:12" x14ac:dyDescent="0.25">
      <c r="A25" s="499" t="s">
        <v>574</v>
      </c>
      <c r="B25" s="9"/>
      <c r="C25" s="10"/>
      <c r="D25" s="693"/>
      <c r="E25" s="9"/>
      <c r="F25" s="11"/>
      <c r="G25" s="12"/>
      <c r="L25" s="493" t="s">
        <v>575</v>
      </c>
    </row>
    <row r="26" spans="1:12" x14ac:dyDescent="0.25">
      <c r="A26" s="499" t="s">
        <v>576</v>
      </c>
      <c r="B26" s="9"/>
      <c r="C26" s="10"/>
      <c r="D26" s="693"/>
      <c r="E26" s="9"/>
      <c r="F26" s="11"/>
      <c r="G26" s="12"/>
      <c r="L26" s="493" t="s">
        <v>577</v>
      </c>
    </row>
    <row r="27" spans="1:12" x14ac:dyDescent="0.25">
      <c r="A27" s="499" t="s">
        <v>578</v>
      </c>
      <c r="B27" s="9"/>
      <c r="C27" s="10"/>
      <c r="D27" s="693"/>
      <c r="E27" s="9"/>
      <c r="F27" s="11"/>
      <c r="G27" s="12"/>
      <c r="L27" s="493" t="s">
        <v>579</v>
      </c>
    </row>
    <row r="28" spans="1:12" x14ac:dyDescent="0.25">
      <c r="A28" s="499" t="s">
        <v>580</v>
      </c>
      <c r="B28" s="9"/>
      <c r="C28" s="10"/>
      <c r="D28" s="693"/>
      <c r="E28" s="9"/>
      <c r="F28" s="11"/>
      <c r="G28" s="12"/>
      <c r="L28" s="493" t="s">
        <v>581</v>
      </c>
    </row>
    <row r="29" spans="1:12" x14ac:dyDescent="0.25">
      <c r="A29" s="499" t="s">
        <v>582</v>
      </c>
      <c r="B29" s="9"/>
      <c r="C29" s="10"/>
      <c r="D29" s="693"/>
      <c r="E29" s="9"/>
      <c r="F29" s="11"/>
      <c r="G29" s="12"/>
      <c r="L29" s="493" t="s">
        <v>583</v>
      </c>
    </row>
    <row r="30" spans="1:12" x14ac:dyDescent="0.25">
      <c r="A30" s="499" t="s">
        <v>584</v>
      </c>
      <c r="B30" s="9"/>
      <c r="C30" s="10"/>
      <c r="D30" s="693"/>
      <c r="E30" s="9"/>
      <c r="F30" s="11"/>
      <c r="G30" s="12"/>
      <c r="L30" s="493" t="s">
        <v>585</v>
      </c>
    </row>
    <row r="31" spans="1:12" x14ac:dyDescent="0.25">
      <c r="A31" s="499" t="s">
        <v>586</v>
      </c>
      <c r="B31" s="9"/>
      <c r="C31" s="10"/>
      <c r="D31" s="693"/>
      <c r="E31" s="9"/>
      <c r="F31" s="11"/>
      <c r="G31" s="12"/>
      <c r="L31" s="493" t="s">
        <v>587</v>
      </c>
    </row>
    <row r="32" spans="1:12" x14ac:dyDescent="0.25">
      <c r="A32" s="499" t="s">
        <v>588</v>
      </c>
      <c r="B32" s="9"/>
      <c r="C32" s="10"/>
      <c r="D32" s="693"/>
      <c r="E32" s="9"/>
      <c r="F32" s="11"/>
      <c r="G32" s="12"/>
      <c r="L32" s="493" t="s">
        <v>589</v>
      </c>
    </row>
    <row r="33" spans="1:12" x14ac:dyDescent="0.25">
      <c r="A33" s="499" t="s">
        <v>590</v>
      </c>
      <c r="B33" s="9"/>
      <c r="C33" s="10"/>
      <c r="D33" s="693"/>
      <c r="E33" s="9"/>
      <c r="F33" s="11"/>
      <c r="G33" s="12"/>
      <c r="L33" s="493" t="s">
        <v>591</v>
      </c>
    </row>
    <row r="34" spans="1:12" x14ac:dyDescent="0.25">
      <c r="A34" s="499" t="s">
        <v>592</v>
      </c>
      <c r="B34" s="9"/>
      <c r="C34" s="10"/>
      <c r="D34" s="693"/>
      <c r="E34" s="9"/>
      <c r="F34" s="11"/>
      <c r="G34" s="12"/>
      <c r="L34" s="493" t="s">
        <v>593</v>
      </c>
    </row>
    <row r="35" spans="1:12" hidden="1" x14ac:dyDescent="0.25">
      <c r="A35" s="499" t="s">
        <v>594</v>
      </c>
      <c r="B35" s="499"/>
      <c r="C35" s="501"/>
      <c r="D35" s="502"/>
      <c r="E35" s="499"/>
      <c r="F35" s="503"/>
      <c r="G35" s="504"/>
      <c r="L35" s="493" t="s">
        <v>595</v>
      </c>
    </row>
    <row r="36" spans="1:12" hidden="1" x14ac:dyDescent="0.25">
      <c r="A36" s="499" t="s">
        <v>596</v>
      </c>
      <c r="B36" s="499"/>
      <c r="C36" s="501"/>
      <c r="D36" s="502"/>
      <c r="E36" s="499"/>
      <c r="F36" s="503"/>
      <c r="G36" s="504"/>
      <c r="L36" s="493" t="s">
        <v>597</v>
      </c>
    </row>
    <row r="37" spans="1:12" hidden="1" x14ac:dyDescent="0.25">
      <c r="A37" s="499" t="s">
        <v>598</v>
      </c>
      <c r="B37" s="499"/>
      <c r="C37" s="501"/>
      <c r="D37" s="502"/>
      <c r="E37" s="499"/>
      <c r="F37" s="503"/>
      <c r="G37" s="504"/>
      <c r="L37" s="493" t="s">
        <v>599</v>
      </c>
    </row>
    <row r="38" spans="1:12" hidden="1" x14ac:dyDescent="0.25">
      <c r="A38" s="499" t="s">
        <v>600</v>
      </c>
      <c r="B38" s="499"/>
      <c r="C38" s="501"/>
      <c r="D38" s="502"/>
      <c r="E38" s="499"/>
      <c r="F38" s="503"/>
      <c r="G38" s="504"/>
      <c r="L38" s="493" t="s">
        <v>601</v>
      </c>
    </row>
    <row r="39" spans="1:12" hidden="1" x14ac:dyDescent="0.25">
      <c r="A39" s="499" t="s">
        <v>602</v>
      </c>
      <c r="B39" s="499"/>
      <c r="C39" s="501"/>
      <c r="D39" s="502"/>
      <c r="E39" s="499"/>
      <c r="F39" s="503"/>
      <c r="G39" s="504"/>
      <c r="L39" s="493" t="s">
        <v>603</v>
      </c>
    </row>
    <row r="40" spans="1:12" hidden="1" x14ac:dyDescent="0.25">
      <c r="A40" s="499" t="s">
        <v>604</v>
      </c>
      <c r="B40" s="499"/>
      <c r="C40" s="501"/>
      <c r="D40" s="502"/>
      <c r="E40" s="499"/>
      <c r="F40" s="503"/>
      <c r="G40" s="504"/>
      <c r="L40" s="493" t="s">
        <v>605</v>
      </c>
    </row>
    <row r="41" spans="1:12" hidden="1" x14ac:dyDescent="0.25">
      <c r="A41" s="499" t="s">
        <v>606</v>
      </c>
      <c r="B41" s="499"/>
      <c r="C41" s="501"/>
      <c r="D41" s="502"/>
      <c r="E41" s="499"/>
      <c r="F41" s="503"/>
      <c r="G41" s="504"/>
      <c r="L41" s="493" t="s">
        <v>607</v>
      </c>
    </row>
    <row r="42" spans="1:12" hidden="1" x14ac:dyDescent="0.25">
      <c r="A42" s="499" t="s">
        <v>608</v>
      </c>
      <c r="B42" s="499"/>
      <c r="C42" s="501"/>
      <c r="D42" s="502"/>
      <c r="E42" s="499"/>
      <c r="F42" s="503"/>
      <c r="G42" s="504"/>
      <c r="L42" s="493" t="s">
        <v>609</v>
      </c>
    </row>
    <row r="43" spans="1:12" hidden="1" x14ac:dyDescent="0.25">
      <c r="A43" s="499" t="s">
        <v>610</v>
      </c>
      <c r="B43" s="499"/>
      <c r="C43" s="501"/>
      <c r="D43" s="502"/>
      <c r="E43" s="499"/>
      <c r="F43" s="503"/>
      <c r="G43" s="504"/>
      <c r="L43" s="493" t="s">
        <v>611</v>
      </c>
    </row>
    <row r="44" spans="1:12" hidden="1" x14ac:dyDescent="0.25">
      <c r="A44" s="499" t="s">
        <v>612</v>
      </c>
      <c r="B44" s="499"/>
      <c r="C44" s="501"/>
      <c r="D44" s="502"/>
      <c r="E44" s="499"/>
      <c r="F44" s="503"/>
      <c r="G44" s="504"/>
      <c r="L44" s="493" t="s">
        <v>613</v>
      </c>
    </row>
    <row r="45" spans="1:12" hidden="1" x14ac:dyDescent="0.25">
      <c r="A45" s="499" t="s">
        <v>614</v>
      </c>
      <c r="B45" s="499"/>
      <c r="C45" s="501"/>
      <c r="D45" s="502"/>
      <c r="E45" s="499"/>
      <c r="F45" s="503"/>
      <c r="G45" s="504"/>
      <c r="L45" s="493" t="s">
        <v>615</v>
      </c>
    </row>
    <row r="46" spans="1:12" hidden="1" x14ac:dyDescent="0.25">
      <c r="A46" s="499" t="s">
        <v>616</v>
      </c>
      <c r="B46" s="499"/>
      <c r="C46" s="501"/>
      <c r="D46" s="502"/>
      <c r="E46" s="499"/>
      <c r="F46" s="503"/>
      <c r="G46" s="504"/>
      <c r="L46" s="493" t="s">
        <v>617</v>
      </c>
    </row>
    <row r="47" spans="1:12" hidden="1" x14ac:dyDescent="0.25">
      <c r="A47" s="499" t="s">
        <v>618</v>
      </c>
      <c r="B47" s="499"/>
      <c r="C47" s="501"/>
      <c r="D47" s="502"/>
      <c r="E47" s="499"/>
      <c r="F47" s="503"/>
      <c r="G47" s="504"/>
      <c r="L47" s="493" t="s">
        <v>619</v>
      </c>
    </row>
    <row r="48" spans="1:12" hidden="1" x14ac:dyDescent="0.25">
      <c r="A48" s="499" t="s">
        <v>620</v>
      </c>
      <c r="B48" s="499"/>
      <c r="C48" s="501"/>
      <c r="D48" s="502"/>
      <c r="E48" s="499"/>
      <c r="F48" s="503"/>
      <c r="G48" s="504"/>
      <c r="L48" s="493" t="s">
        <v>621</v>
      </c>
    </row>
    <row r="49" spans="1:12" hidden="1" x14ac:dyDescent="0.25">
      <c r="A49" s="499" t="s">
        <v>622</v>
      </c>
      <c r="B49" s="499"/>
      <c r="C49" s="501"/>
      <c r="D49" s="502"/>
      <c r="E49" s="499"/>
      <c r="F49" s="503"/>
      <c r="G49" s="504"/>
      <c r="L49" s="493" t="s">
        <v>623</v>
      </c>
    </row>
    <row r="50" spans="1:12" hidden="1" x14ac:dyDescent="0.25">
      <c r="A50" s="499" t="s">
        <v>624</v>
      </c>
      <c r="B50" s="499"/>
      <c r="C50" s="501"/>
      <c r="D50" s="502"/>
      <c r="E50" s="499"/>
      <c r="F50" s="503"/>
      <c r="G50" s="504"/>
      <c r="L50" s="493" t="s">
        <v>625</v>
      </c>
    </row>
    <row r="51" spans="1:12" hidden="1" x14ac:dyDescent="0.25">
      <c r="A51" s="499" t="s">
        <v>626</v>
      </c>
      <c r="B51" s="499"/>
      <c r="C51" s="501"/>
      <c r="D51" s="502"/>
      <c r="E51" s="499"/>
      <c r="F51" s="503"/>
      <c r="G51" s="504"/>
      <c r="L51" s="493" t="s">
        <v>627</v>
      </c>
    </row>
    <row r="52" spans="1:12" hidden="1" x14ac:dyDescent="0.25">
      <c r="A52" s="499" t="s">
        <v>628</v>
      </c>
      <c r="B52" s="499"/>
      <c r="C52" s="501"/>
      <c r="D52" s="502"/>
      <c r="E52" s="499"/>
      <c r="F52" s="503"/>
      <c r="G52" s="504"/>
      <c r="L52" s="493" t="s">
        <v>629</v>
      </c>
    </row>
    <row r="53" spans="1:12" hidden="1" x14ac:dyDescent="0.25">
      <c r="A53" s="499" t="s">
        <v>630</v>
      </c>
      <c r="B53" s="499"/>
      <c r="C53" s="501"/>
      <c r="D53" s="502"/>
      <c r="E53" s="499"/>
      <c r="F53" s="503"/>
      <c r="G53" s="504"/>
      <c r="L53" s="493" t="s">
        <v>631</v>
      </c>
    </row>
    <row r="54" spans="1:12" hidden="1" x14ac:dyDescent="0.25">
      <c r="A54" s="499" t="s">
        <v>632</v>
      </c>
      <c r="B54" s="499"/>
      <c r="C54" s="501"/>
      <c r="D54" s="502"/>
      <c r="E54" s="499"/>
      <c r="F54" s="503"/>
      <c r="G54" s="504"/>
      <c r="L54" s="493" t="s">
        <v>633</v>
      </c>
    </row>
    <row r="55" spans="1:12" hidden="1" x14ac:dyDescent="0.25">
      <c r="A55" s="499" t="s">
        <v>634</v>
      </c>
      <c r="B55" s="499"/>
      <c r="C55" s="501"/>
      <c r="D55" s="502"/>
      <c r="E55" s="499"/>
      <c r="F55" s="503"/>
      <c r="G55" s="504"/>
      <c r="L55" s="493" t="s">
        <v>635</v>
      </c>
    </row>
    <row r="56" spans="1:12" hidden="1" x14ac:dyDescent="0.25">
      <c r="A56" s="499" t="s">
        <v>636</v>
      </c>
      <c r="B56" s="499"/>
      <c r="C56" s="501"/>
      <c r="D56" s="502"/>
      <c r="E56" s="499"/>
      <c r="F56" s="503"/>
      <c r="G56" s="504"/>
      <c r="L56" s="493" t="s">
        <v>637</v>
      </c>
    </row>
    <row r="57" spans="1:12" hidden="1" x14ac:dyDescent="0.25">
      <c r="A57" s="499" t="s">
        <v>638</v>
      </c>
      <c r="B57" s="499"/>
      <c r="C57" s="501"/>
      <c r="D57" s="502"/>
      <c r="E57" s="499"/>
      <c r="F57" s="503"/>
      <c r="G57" s="504"/>
      <c r="L57" s="493" t="s">
        <v>639</v>
      </c>
    </row>
    <row r="58" spans="1:12" hidden="1" x14ac:dyDescent="0.25">
      <c r="A58" s="499" t="s">
        <v>640</v>
      </c>
      <c r="B58" s="499"/>
      <c r="C58" s="501"/>
      <c r="D58" s="502"/>
      <c r="E58" s="499"/>
      <c r="F58" s="503"/>
      <c r="G58" s="504"/>
      <c r="L58" s="493" t="s">
        <v>641</v>
      </c>
    </row>
    <row r="59" spans="1:12" hidden="1" x14ac:dyDescent="0.25">
      <c r="A59" s="499" t="s">
        <v>642</v>
      </c>
      <c r="B59" s="499"/>
      <c r="C59" s="501"/>
      <c r="D59" s="502"/>
      <c r="E59" s="499"/>
      <c r="F59" s="503"/>
      <c r="G59" s="504"/>
      <c r="L59" s="493" t="s">
        <v>643</v>
      </c>
    </row>
    <row r="60" spans="1:12" hidden="1" x14ac:dyDescent="0.25">
      <c r="A60" s="499" t="s">
        <v>644</v>
      </c>
      <c r="B60" s="499"/>
      <c r="C60" s="501"/>
      <c r="D60" s="502"/>
      <c r="E60" s="499"/>
      <c r="F60" s="503"/>
      <c r="G60" s="504"/>
      <c r="L60" s="493" t="s">
        <v>645</v>
      </c>
    </row>
    <row r="61" spans="1:12" hidden="1" x14ac:dyDescent="0.25">
      <c r="A61" s="499" t="s">
        <v>646</v>
      </c>
      <c r="B61" s="499"/>
      <c r="C61" s="501"/>
      <c r="D61" s="502"/>
      <c r="E61" s="499"/>
      <c r="F61" s="503"/>
      <c r="G61" s="504"/>
      <c r="L61" s="493" t="s">
        <v>647</v>
      </c>
    </row>
    <row r="62" spans="1:12" hidden="1" x14ac:dyDescent="0.25">
      <c r="A62" s="499" t="s">
        <v>648</v>
      </c>
      <c r="B62" s="499"/>
      <c r="C62" s="501"/>
      <c r="D62" s="502"/>
      <c r="E62" s="499"/>
      <c r="F62" s="503"/>
      <c r="G62" s="504"/>
      <c r="L62" s="493" t="s">
        <v>649</v>
      </c>
    </row>
    <row r="63" spans="1:12" hidden="1" x14ac:dyDescent="0.25">
      <c r="A63" s="499" t="s">
        <v>650</v>
      </c>
      <c r="B63" s="499"/>
      <c r="C63" s="501"/>
      <c r="D63" s="502"/>
      <c r="E63" s="499"/>
      <c r="F63" s="503"/>
      <c r="G63" s="504"/>
      <c r="L63" s="493" t="s">
        <v>651</v>
      </c>
    </row>
    <row r="64" spans="1:12" hidden="1" x14ac:dyDescent="0.25">
      <c r="A64" s="499" t="s">
        <v>652</v>
      </c>
      <c r="B64" s="499"/>
      <c r="C64" s="501"/>
      <c r="D64" s="502"/>
      <c r="E64" s="499"/>
      <c r="F64" s="503"/>
      <c r="G64" s="504"/>
      <c r="L64" s="493" t="s">
        <v>653</v>
      </c>
    </row>
    <row r="65" spans="1:12" hidden="1" x14ac:dyDescent="0.25">
      <c r="A65" s="499" t="s">
        <v>654</v>
      </c>
      <c r="B65" s="499"/>
      <c r="C65" s="501"/>
      <c r="D65" s="502"/>
      <c r="E65" s="499"/>
      <c r="F65" s="503"/>
      <c r="G65" s="504"/>
      <c r="L65" s="493" t="s">
        <v>655</v>
      </c>
    </row>
    <row r="66" spans="1:12" hidden="1" x14ac:dyDescent="0.25">
      <c r="A66" s="499" t="s">
        <v>656</v>
      </c>
      <c r="B66" s="499"/>
      <c r="C66" s="501"/>
      <c r="D66" s="502"/>
      <c r="E66" s="499"/>
      <c r="F66" s="503"/>
      <c r="G66" s="504"/>
      <c r="L66" s="493" t="s">
        <v>657</v>
      </c>
    </row>
    <row r="67" spans="1:12" hidden="1" x14ac:dyDescent="0.25">
      <c r="A67" s="499" t="s">
        <v>658</v>
      </c>
      <c r="B67" s="499"/>
      <c r="C67" s="501"/>
      <c r="D67" s="502"/>
      <c r="E67" s="499"/>
      <c r="F67" s="503"/>
      <c r="G67" s="504"/>
      <c r="L67" s="493" t="s">
        <v>659</v>
      </c>
    </row>
    <row r="68" spans="1:12" hidden="1" x14ac:dyDescent="0.25">
      <c r="A68" s="499" t="s">
        <v>660</v>
      </c>
      <c r="B68" s="499"/>
      <c r="C68" s="501"/>
      <c r="D68" s="502"/>
      <c r="E68" s="499"/>
      <c r="F68" s="503"/>
      <c r="G68" s="504"/>
      <c r="L68" s="493" t="s">
        <v>661</v>
      </c>
    </row>
    <row r="69" spans="1:12" hidden="1" x14ac:dyDescent="0.25">
      <c r="A69" s="499" t="s">
        <v>662</v>
      </c>
      <c r="B69" s="499"/>
      <c r="C69" s="501"/>
      <c r="D69" s="502"/>
      <c r="E69" s="499"/>
      <c r="F69" s="503"/>
      <c r="G69" s="504"/>
      <c r="L69" s="493" t="s">
        <v>663</v>
      </c>
    </row>
    <row r="70" spans="1:12" hidden="1" x14ac:dyDescent="0.25">
      <c r="A70" s="499" t="s">
        <v>664</v>
      </c>
      <c r="B70" s="499"/>
      <c r="C70" s="501"/>
      <c r="D70" s="502"/>
      <c r="E70" s="499"/>
      <c r="F70" s="503"/>
      <c r="G70" s="504"/>
      <c r="L70" s="493" t="s">
        <v>665</v>
      </c>
    </row>
    <row r="71" spans="1:12" hidden="1" x14ac:dyDescent="0.25">
      <c r="A71" s="499" t="s">
        <v>666</v>
      </c>
      <c r="B71" s="499"/>
      <c r="C71" s="501"/>
      <c r="D71" s="502"/>
      <c r="E71" s="499"/>
      <c r="F71" s="503"/>
      <c r="G71" s="504"/>
      <c r="L71" s="493" t="s">
        <v>667</v>
      </c>
    </row>
    <row r="72" spans="1:12" hidden="1" x14ac:dyDescent="0.25">
      <c r="A72" s="499" t="s">
        <v>668</v>
      </c>
      <c r="B72" s="499"/>
      <c r="C72" s="501"/>
      <c r="D72" s="502"/>
      <c r="E72" s="499"/>
      <c r="F72" s="503"/>
      <c r="G72" s="504"/>
      <c r="L72" s="493" t="s">
        <v>669</v>
      </c>
    </row>
    <row r="73" spans="1:12" hidden="1" x14ac:dyDescent="0.25">
      <c r="A73" s="499" t="s">
        <v>670</v>
      </c>
      <c r="B73" s="499"/>
      <c r="C73" s="501"/>
      <c r="D73" s="502"/>
      <c r="E73" s="499"/>
      <c r="F73" s="503"/>
      <c r="G73" s="504"/>
      <c r="L73" s="493" t="s">
        <v>671</v>
      </c>
    </row>
    <row r="74" spans="1:12" hidden="1" x14ac:dyDescent="0.25">
      <c r="A74" s="499" t="s">
        <v>672</v>
      </c>
      <c r="B74" s="499"/>
      <c r="C74" s="501"/>
      <c r="D74" s="502"/>
      <c r="E74" s="499"/>
      <c r="F74" s="503"/>
      <c r="G74" s="504"/>
      <c r="L74" s="493" t="s">
        <v>673</v>
      </c>
    </row>
    <row r="75" spans="1:12" hidden="1" x14ac:dyDescent="0.25">
      <c r="A75" s="499" t="s">
        <v>674</v>
      </c>
      <c r="B75" s="499"/>
      <c r="C75" s="501"/>
      <c r="D75" s="502"/>
      <c r="E75" s="499"/>
      <c r="F75" s="503"/>
      <c r="G75" s="504"/>
      <c r="L75" s="493" t="s">
        <v>675</v>
      </c>
    </row>
    <row r="76" spans="1:12" hidden="1" x14ac:dyDescent="0.25">
      <c r="A76" s="499" t="s">
        <v>676</v>
      </c>
      <c r="B76" s="499"/>
      <c r="C76" s="501"/>
      <c r="D76" s="502"/>
      <c r="E76" s="499"/>
      <c r="F76" s="503"/>
      <c r="G76" s="504"/>
      <c r="L76" s="493" t="s">
        <v>677</v>
      </c>
    </row>
    <row r="77" spans="1:12" hidden="1" x14ac:dyDescent="0.25">
      <c r="A77" s="499" t="s">
        <v>678</v>
      </c>
      <c r="B77" s="499"/>
      <c r="C77" s="501"/>
      <c r="D77" s="502"/>
      <c r="E77" s="499"/>
      <c r="F77" s="503"/>
      <c r="G77" s="504"/>
      <c r="L77" s="493" t="s">
        <v>679</v>
      </c>
    </row>
    <row r="78" spans="1:12" hidden="1" x14ac:dyDescent="0.25">
      <c r="A78" s="499" t="s">
        <v>680</v>
      </c>
      <c r="B78" s="499"/>
      <c r="C78" s="501"/>
      <c r="D78" s="502"/>
      <c r="E78" s="499"/>
      <c r="F78" s="503"/>
      <c r="G78" s="504"/>
      <c r="L78" s="493" t="s">
        <v>681</v>
      </c>
    </row>
    <row r="79" spans="1:12" hidden="1" x14ac:dyDescent="0.25">
      <c r="A79" s="499" t="s">
        <v>682</v>
      </c>
      <c r="B79" s="499"/>
      <c r="C79" s="501"/>
      <c r="D79" s="502"/>
      <c r="E79" s="499"/>
      <c r="F79" s="503"/>
      <c r="G79" s="504"/>
      <c r="L79" s="493" t="s">
        <v>683</v>
      </c>
    </row>
    <row r="80" spans="1:12" hidden="1" x14ac:dyDescent="0.25">
      <c r="A80" s="499" t="s">
        <v>684</v>
      </c>
      <c r="B80" s="499"/>
      <c r="C80" s="501"/>
      <c r="D80" s="502"/>
      <c r="E80" s="499"/>
      <c r="F80" s="503"/>
      <c r="G80" s="504"/>
      <c r="L80" s="493" t="s">
        <v>685</v>
      </c>
    </row>
    <row r="81" spans="1:12" hidden="1" x14ac:dyDescent="0.25">
      <c r="A81" s="499" t="s">
        <v>686</v>
      </c>
      <c r="B81" s="499"/>
      <c r="C81" s="501"/>
      <c r="D81" s="502"/>
      <c r="E81" s="499"/>
      <c r="F81" s="503"/>
      <c r="G81" s="504"/>
      <c r="L81" s="493" t="s">
        <v>687</v>
      </c>
    </row>
    <row r="82" spans="1:12" hidden="1" x14ac:dyDescent="0.25">
      <c r="A82" s="499" t="s">
        <v>688</v>
      </c>
      <c r="B82" s="499"/>
      <c r="C82" s="501"/>
      <c r="D82" s="502"/>
      <c r="E82" s="499"/>
      <c r="F82" s="503"/>
      <c r="G82" s="504"/>
      <c r="L82" s="493" t="s">
        <v>689</v>
      </c>
    </row>
    <row r="83" spans="1:12" hidden="1" x14ac:dyDescent="0.25">
      <c r="A83" s="499" t="s">
        <v>690</v>
      </c>
      <c r="B83" s="499"/>
      <c r="C83" s="501"/>
      <c r="D83" s="502"/>
      <c r="E83" s="499"/>
      <c r="F83" s="503"/>
      <c r="G83" s="504"/>
      <c r="L83" s="493" t="s">
        <v>691</v>
      </c>
    </row>
    <row r="84" spans="1:12" hidden="1" x14ac:dyDescent="0.25">
      <c r="A84" s="499" t="s">
        <v>692</v>
      </c>
      <c r="B84" s="499"/>
      <c r="C84" s="501"/>
      <c r="D84" s="502"/>
      <c r="E84" s="499"/>
      <c r="F84" s="503"/>
      <c r="G84" s="504"/>
      <c r="L84" s="493" t="s">
        <v>693</v>
      </c>
    </row>
    <row r="85" spans="1:12" hidden="1" x14ac:dyDescent="0.25">
      <c r="A85" s="499" t="s">
        <v>694</v>
      </c>
      <c r="B85" s="499"/>
      <c r="C85" s="501"/>
      <c r="D85" s="502"/>
      <c r="E85" s="499"/>
      <c r="F85" s="503"/>
      <c r="G85" s="504"/>
      <c r="L85" s="493" t="s">
        <v>695</v>
      </c>
    </row>
    <row r="86" spans="1:12" hidden="1" x14ac:dyDescent="0.25">
      <c r="A86" s="499" t="s">
        <v>696</v>
      </c>
      <c r="B86" s="499"/>
      <c r="C86" s="501"/>
      <c r="D86" s="502"/>
      <c r="E86" s="499"/>
      <c r="F86" s="503"/>
      <c r="G86" s="504"/>
      <c r="L86" s="493" t="s">
        <v>697</v>
      </c>
    </row>
    <row r="87" spans="1:12" hidden="1" x14ac:dyDescent="0.25">
      <c r="A87" s="499" t="s">
        <v>698</v>
      </c>
      <c r="B87" s="499"/>
      <c r="C87" s="501"/>
      <c r="D87" s="502"/>
      <c r="E87" s="499"/>
      <c r="F87" s="503"/>
      <c r="G87" s="504"/>
      <c r="L87" s="493" t="s">
        <v>699</v>
      </c>
    </row>
    <row r="88" spans="1:12" hidden="1" x14ac:dyDescent="0.25">
      <c r="A88" s="499" t="s">
        <v>700</v>
      </c>
      <c r="B88" s="499"/>
      <c r="C88" s="501"/>
      <c r="D88" s="502"/>
      <c r="E88" s="499"/>
      <c r="F88" s="503"/>
      <c r="G88" s="504"/>
      <c r="L88" s="493" t="s">
        <v>701</v>
      </c>
    </row>
    <row r="89" spans="1:12" hidden="1" x14ac:dyDescent="0.25">
      <c r="A89" s="499" t="s">
        <v>702</v>
      </c>
      <c r="B89" s="499"/>
      <c r="C89" s="501"/>
      <c r="D89" s="502"/>
      <c r="E89" s="499"/>
      <c r="F89" s="503"/>
      <c r="G89" s="504"/>
      <c r="L89" s="493" t="s">
        <v>703</v>
      </c>
    </row>
    <row r="90" spans="1:12" hidden="1" x14ac:dyDescent="0.25">
      <c r="A90" s="499" t="s">
        <v>704</v>
      </c>
      <c r="B90" s="499"/>
      <c r="C90" s="501"/>
      <c r="D90" s="502"/>
      <c r="E90" s="499"/>
      <c r="F90" s="503"/>
      <c r="G90" s="504"/>
      <c r="L90" s="493" t="s">
        <v>705</v>
      </c>
    </row>
    <row r="91" spans="1:12" hidden="1" x14ac:dyDescent="0.25">
      <c r="A91" s="499" t="s">
        <v>706</v>
      </c>
      <c r="B91" s="499"/>
      <c r="C91" s="501"/>
      <c r="D91" s="502"/>
      <c r="E91" s="499"/>
      <c r="F91" s="503"/>
      <c r="G91" s="504"/>
      <c r="L91" s="493" t="s">
        <v>707</v>
      </c>
    </row>
    <row r="92" spans="1:12" hidden="1" x14ac:dyDescent="0.25">
      <c r="A92" s="499" t="s">
        <v>708</v>
      </c>
      <c r="B92" s="499"/>
      <c r="C92" s="501"/>
      <c r="D92" s="502"/>
      <c r="E92" s="499"/>
      <c r="F92" s="503"/>
      <c r="G92" s="504"/>
      <c r="L92" s="493" t="s">
        <v>709</v>
      </c>
    </row>
    <row r="93" spans="1:12" hidden="1" x14ac:dyDescent="0.25">
      <c r="A93" s="499" t="s">
        <v>710</v>
      </c>
      <c r="B93" s="499"/>
      <c r="C93" s="501"/>
      <c r="D93" s="502"/>
      <c r="E93" s="499"/>
      <c r="F93" s="503"/>
      <c r="G93" s="504"/>
      <c r="L93" s="493" t="s">
        <v>711</v>
      </c>
    </row>
    <row r="94" spans="1:12" hidden="1" x14ac:dyDescent="0.25">
      <c r="A94" s="499" t="s">
        <v>712</v>
      </c>
      <c r="B94" s="499"/>
      <c r="C94" s="501"/>
      <c r="D94" s="502"/>
      <c r="E94" s="499"/>
      <c r="F94" s="503"/>
      <c r="G94" s="504"/>
      <c r="L94" s="493" t="s">
        <v>713</v>
      </c>
    </row>
    <row r="95" spans="1:12" hidden="1" x14ac:dyDescent="0.25">
      <c r="A95" s="499" t="s">
        <v>714</v>
      </c>
      <c r="B95" s="499"/>
      <c r="C95" s="501"/>
      <c r="D95" s="502"/>
      <c r="E95" s="499"/>
      <c r="F95" s="503"/>
      <c r="G95" s="504"/>
      <c r="L95" s="493" t="s">
        <v>715</v>
      </c>
    </row>
    <row r="96" spans="1:12" hidden="1" x14ac:dyDescent="0.25">
      <c r="A96" s="499" t="s">
        <v>716</v>
      </c>
      <c r="B96" s="499"/>
      <c r="C96" s="501"/>
      <c r="D96" s="502"/>
      <c r="E96" s="499"/>
      <c r="F96" s="503"/>
      <c r="G96" s="504"/>
      <c r="L96" s="493" t="s">
        <v>717</v>
      </c>
    </row>
    <row r="97" spans="1:12" hidden="1" x14ac:dyDescent="0.25">
      <c r="A97" s="499" t="s">
        <v>718</v>
      </c>
      <c r="B97" s="499"/>
      <c r="C97" s="501"/>
      <c r="D97" s="502"/>
      <c r="E97" s="499"/>
      <c r="F97" s="503"/>
      <c r="G97" s="504"/>
      <c r="L97" s="493" t="s">
        <v>719</v>
      </c>
    </row>
    <row r="98" spans="1:12" hidden="1" x14ac:dyDescent="0.25">
      <c r="A98" s="499" t="s">
        <v>720</v>
      </c>
      <c r="B98" s="499"/>
      <c r="C98" s="501"/>
      <c r="D98" s="502"/>
      <c r="E98" s="499"/>
      <c r="F98" s="503"/>
      <c r="G98" s="504"/>
      <c r="L98" s="493" t="s">
        <v>721</v>
      </c>
    </row>
    <row r="99" spans="1:12" hidden="1" x14ac:dyDescent="0.25">
      <c r="A99" s="499" t="s">
        <v>722</v>
      </c>
      <c r="B99" s="499"/>
      <c r="C99" s="501"/>
      <c r="D99" s="502"/>
      <c r="E99" s="499"/>
      <c r="F99" s="503"/>
      <c r="G99" s="504"/>
      <c r="L99" s="493" t="s">
        <v>723</v>
      </c>
    </row>
  </sheetData>
  <mergeCells count="2">
    <mergeCell ref="D4:G4"/>
    <mergeCell ref="D1:E1"/>
  </mergeCells>
  <conditionalFormatting sqref="F11:F24">
    <cfRule type="expression" dxfId="11" priority="3" stopIfTrue="1">
      <formula>AND($B11&lt;&gt;"",$F11="")</formula>
    </cfRule>
  </conditionalFormatting>
  <conditionalFormatting sqref="F10">
    <cfRule type="expression" dxfId="10" priority="1"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E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E00-000001000000}"/>
    <dataValidation allowBlank="1" showInputMessage="1" showErrorMessage="1" prompt="Click on this line for detailed instructions." sqref="A1" xr:uid="{00000000-0002-0000-0E00-000002000000}"/>
    <dataValidation allowBlank="1" showInputMessage="1" showErrorMessage="1" prompt="Enter the 100th (or 200th) day student count." sqref="D10:D99" xr:uid="{00000000-0002-0000-0E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E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E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E00-000006000000}"/>
    <dataValidation operator="equal" allowBlank="1" showInputMessage="1" showErrorMessage="1" error="This cell will only accept entries equal to 9 digits." sqref="B2 C7" xr:uid="{00000000-0002-0000-0E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E00-000008000000}">
      <formula1>100</formula1>
      <formula2>999</formula2>
    </dataValidation>
  </dataValidations>
  <hyperlinks>
    <hyperlink ref="A1" location="School_Listing_Tab" display="Charter name" xr:uid="{00000000-0004-0000-0E00-000000000000}"/>
    <hyperlink ref="D1" location="School_Listing_Tab" display="Instructions" xr:uid="{5BC37BC3-0C44-418C-B4FB-B28E87F53DE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7"/>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488"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8" customFormat="1" ht="93" customHeight="1" x14ac:dyDescent="0.2">
      <c r="A2" s="584"/>
      <c r="B2" s="584"/>
      <c r="C2" s="483"/>
    </row>
    <row r="3" spans="1:3" s="8" customFormat="1" ht="112.5" customHeight="1" x14ac:dyDescent="0.2">
      <c r="A3" s="584" t="str">
        <f>IF('Page 2'!J48=0,"",IF(SUM('Page 3'!F26)+SUM('Page 4'!F17)+SUM('Page 5'!H8)+SUM('Page 5'!H30)&gt;'Page 1'!H30,C3,""))</f>
        <v/>
      </c>
      <c r="B3" s="584" t="str">
        <f>IF(A3="","","Restricted revenues-3200 on page 1 are not complete.")</f>
        <v/>
      </c>
      <c r="C3" s="489" t="s">
        <v>1141</v>
      </c>
    </row>
    <row r="4" spans="1:3" s="8" customFormat="1" ht="63" customHeight="1" x14ac:dyDescent="0.2">
      <c r="A4" s="584" t="str">
        <f>IF('Page 2'!J48=0,"",IF('Page 3'!F28&lt;=0,C4,""))</f>
        <v/>
      </c>
      <c r="B4" s="584" t="str">
        <f>IF(A4="","","Classroom Site Project revenue information on page 3 is not complete.")</f>
        <v/>
      </c>
      <c r="C4" s="489" t="s">
        <v>520</v>
      </c>
    </row>
    <row r="5" spans="1:3" s="8" customFormat="1" ht="78.75" customHeight="1" x14ac:dyDescent="0.2">
      <c r="A5" s="584" t="str">
        <f>IF('Page 2'!J48=0,"",IF('Page 4'!F17&lt;=0,C5,""))</f>
        <v/>
      </c>
      <c r="B5" s="584" t="str">
        <f>IF(A5="","","Instructional Improvement Project revenue on page 4 is not complete.")</f>
        <v/>
      </c>
      <c r="C5" s="489" t="s">
        <v>521</v>
      </c>
    </row>
    <row r="6" spans="1:3" s="8" customFormat="1" ht="55.5" customHeight="1" x14ac:dyDescent="0.2">
      <c r="A6" s="584" t="str">
        <f>IF('Page 2'!J48=0,"",IF(OR('Page 6'!G15="",'Page 6'!G16="",'Page 6'!G17="",'Page 6'!G18="",'Page 6'!G19=""),C6,""))</f>
        <v/>
      </c>
      <c r="B6" s="584" t="str">
        <f>IF(A6="","","Capital acquisition information on page 6, section C is not complete.")</f>
        <v/>
      </c>
      <c r="C6" s="489" t="s">
        <v>1142</v>
      </c>
    </row>
    <row r="7" spans="1:3" s="8" customFormat="1" ht="48.75" customHeight="1" x14ac:dyDescent="0.2">
      <c r="A7" s="584" t="str">
        <f>IF('Page 2'!J48=0,"",IF(OR('Page 6'!G33&lt;=0,'Page 6'!G35&lt;=0,'Page 6'!G34&lt;=0,'Page 6'!G38&lt;=0),C7,""))</f>
        <v/>
      </c>
      <c r="B7" s="584" t="str">
        <f>IF(A7="","","Current expenses on page 6, section E are not complete.")</f>
        <v/>
      </c>
      <c r="C7" s="489" t="s">
        <v>1143</v>
      </c>
    </row>
    <row r="8" spans="1:3" s="8" customFormat="1" ht="70.5" customHeight="1" x14ac:dyDescent="0.2">
      <c r="A8" s="584" t="str">
        <f>IF('Page 2'!J48=0,"",IF((SUM('Page 2'!J11,'Page 2'!J12,'Page 2'!J13,'Page 2'!J15,'Page 2'!J29,'Page 2'!J30,'Page 2'!J31,'Page 2'!J33))&gt;('Page 6'!G35),C8,""))</f>
        <v/>
      </c>
      <c r="B8" s="584" t="str">
        <f>IF(A8="","","Current administration expense on page 6, section E is not complete.")</f>
        <v/>
      </c>
      <c r="C8" s="489" t="s">
        <v>522</v>
      </c>
    </row>
    <row r="9" spans="1:3" s="8" customFormat="1" ht="39.75" customHeight="1" x14ac:dyDescent="0.2">
      <c r="A9" s="584" t="str">
        <f>IF('Page 2'!J48=0,"",IF(SUM('Page 6'!T6:T8)&lt;=0,C9,""))</f>
        <v/>
      </c>
      <c r="B9" s="584" t="str">
        <f>IF(A9="","","Page 6, section F, lines 1-3 are not complete.")</f>
        <v/>
      </c>
      <c r="C9" s="489" t="s">
        <v>523</v>
      </c>
    </row>
    <row r="10" spans="1:3" s="8" customFormat="1" ht="55.5" customHeight="1" x14ac:dyDescent="0.2">
      <c r="A10" s="584" t="str">
        <f>IF('Page 2'!J48=0,"",IF(SUM('Page 6'!M19:T23)&lt;=0,C10,""))</f>
        <v/>
      </c>
      <c r="B10" s="584" t="str">
        <f>IF(A10="","","Teacher salary information on page 6, section G is not complete.")</f>
        <v/>
      </c>
      <c r="C10" s="489" t="s">
        <v>524</v>
      </c>
    </row>
    <row r="11" spans="1:3" s="8" customFormat="1" ht="50.25" customHeight="1" x14ac:dyDescent="0.2">
      <c r="A11" s="584" t="str">
        <f>IF(SUM('Page 6'!T6:T8)=0,"",IF(AND(((SUM('Page 6'!M19:Q24,'Page 6'!T19:T24)/SUM('Page 6'!T6:T8))&gt;10000),(SUM('Page 6'!M19:Q24,'Page 6'!T19:T24)/SUM('Page 6'!T6:T8))&lt;80000),"",C11))</f>
        <v/>
      </c>
      <c r="B11" s="584" t="str">
        <f>IF(A11="","","Teacher FTE and salary information on page 6, sections F and G is not appropriate.")</f>
        <v/>
      </c>
      <c r="C11" s="489" t="s">
        <v>525</v>
      </c>
    </row>
    <row r="12" spans="1:3" s="8" customFormat="1" ht="57" customHeight="1" x14ac:dyDescent="0.2">
      <c r="A12" s="584" t="str">
        <f>IF('Page 2'!J48=0,"",IF(OR('Page 6'!T29="",'Page 6'!T29&lt;10000),C12,""))</f>
        <v/>
      </c>
      <c r="B12" s="584" t="str">
        <f>IF(A12="","","Average teacher salary information on page 6, section H is not complete.")</f>
        <v/>
      </c>
      <c r="C12" s="688" t="s">
        <v>1374</v>
      </c>
    </row>
    <row r="13" spans="1:3" s="8" customFormat="1" ht="84.75" customHeight="1" x14ac:dyDescent="0.2">
      <c r="A13" s="584" t="str">
        <f>IF('Page 2'!J48=0,"",IF(AND('Page 2'!J37&gt;0,'Page 7'!T23&lt;'Page 2'!J37),C13,""))</f>
        <v/>
      </c>
      <c r="B13" s="584" t="str">
        <f>IF(A13="","","Special education program information on page 7 is not complete.")</f>
        <v/>
      </c>
      <c r="C13" s="489" t="s">
        <v>526</v>
      </c>
    </row>
    <row r="14" spans="1:3" s="8" customFormat="1" ht="84.75" customHeight="1" x14ac:dyDescent="0.2">
      <c r="A14" s="584" t="str">
        <f>IF('Page 2'!J48=0,"",IF(OR('Page 9'!E41="",'Page 9'!E42="",'Page 9'!E43="",'Page 9'!E44="",('Page 9'!K23+'Page 9'!K26+SUM('Page 9'!E33:E36))&lt;&gt;(SUM('Page 9'!E41:E44))),C14,""))</f>
        <v/>
      </c>
      <c r="B14" s="584" t="str">
        <f>IF(A14="","","Property disbursement information on page 9 is not complete.")</f>
        <v/>
      </c>
      <c r="C14" s="489" t="s">
        <v>527</v>
      </c>
    </row>
    <row r="15" spans="1:3" s="8" customFormat="1" ht="90" customHeight="1" x14ac:dyDescent="0.2">
      <c r="A15" s="584" t="str">
        <f>IF('Page 2'!J48=0,"",IF((SUM('Page 2'!J48))&gt;(SUM('Page 9'!D23:J23)+SUM('Page 9'!D26:J26)+SUM('Page 9'!D33:D36)+'Page 9'!E48+'Page 9'!E50),C15,""))</f>
        <v/>
      </c>
      <c r="B15" s="584" t="str">
        <f>IF(A15="","","NPEFS information on page 9 is not complete.")</f>
        <v/>
      </c>
      <c r="C15" s="489" t="s">
        <v>528</v>
      </c>
    </row>
    <row r="16" spans="1:3" s="8" customFormat="1" ht="41.25" customHeight="1" x14ac:dyDescent="0.2">
      <c r="A16" s="584" t="str">
        <f>IF('Page 2'!J48=0,"",IF(OR('Page 8'!G25="",'Page 8'!H25="",'Page 8'!I25="",'Page 8'!K25="",'Page 8'!M25=""),C16,""))</f>
        <v/>
      </c>
      <c r="B16" s="584" t="str">
        <f>IF(A16="","","COVID-19 information on page 8, line 19 is not complete.")</f>
        <v/>
      </c>
      <c r="C16" s="489" t="s">
        <v>529</v>
      </c>
    </row>
    <row r="17" spans="1:1" ht="43.5" customHeight="1" x14ac:dyDescent="0.2">
      <c r="A17" s="490"/>
    </row>
  </sheetData>
  <sheetProtection formatCells="0" formatColumns="0" formatRows="0"/>
  <printOptions horizontalCentered="1"/>
  <pageMargins left="0.7" right="0.7" top="0.75" bottom="0.75" header="0.3" footer="0.3"/>
  <pageSetup scale="62" orientation="portrait" r:id="rId1"/>
  <headerFooter>
    <oddFooter>&amp;LRev. 8/25 Arizona Department of Education and Auditor General&amp;CFY 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filterMode="1">
    <pageSetUpPr fitToPage="1"/>
  </sheetPr>
  <dimension ref="A1:Y4341"/>
  <sheetViews>
    <sheetView showGridLines="0" zoomScaleNormal="100" workbookViewId="0">
      <selection activeCell="G141" sqref="G141"/>
    </sheetView>
  </sheetViews>
  <sheetFormatPr defaultColWidth="9.6640625" defaultRowHeight="15" x14ac:dyDescent="0.25"/>
  <cols>
    <col min="1" max="5" width="16.83203125" style="14" bestFit="1" customWidth="1"/>
    <col min="6" max="6" width="62.5" style="14" bestFit="1" customWidth="1"/>
    <col min="7" max="7" width="25.1640625" style="18" bestFit="1" customWidth="1"/>
    <col min="8" max="8" width="24.6640625" style="14" bestFit="1" customWidth="1"/>
    <col min="9" max="9" width="22.33203125" style="14" bestFit="1" customWidth="1"/>
    <col min="10" max="10" width="16.33203125" style="14" bestFit="1" customWidth="1"/>
    <col min="11" max="11" width="13.33203125" style="14" bestFit="1" customWidth="1"/>
    <col min="12" max="12" width="9.6640625" style="14" customWidth="1"/>
    <col min="13" max="13" width="58.83203125" style="14" hidden="1" customWidth="1"/>
    <col min="14" max="14" width="55.33203125" style="14" hidden="1" customWidth="1"/>
    <col min="15" max="15" width="45.33203125" style="14" hidden="1" customWidth="1"/>
    <col min="16" max="16" width="90.1640625" style="14" hidden="1" customWidth="1"/>
    <col min="17" max="24" width="9.6640625" style="14" customWidth="1"/>
    <col min="25" max="25" width="21.33203125" style="14" hidden="1" customWidth="1"/>
    <col min="26" max="29" width="9.6640625" style="14" customWidth="1"/>
    <col min="30" max="16384" width="9.6640625" style="14"/>
  </cols>
  <sheetData>
    <row r="1" spans="1:25" ht="48" customHeight="1" x14ac:dyDescent="0.25">
      <c r="A1" s="13" t="s">
        <v>1486</v>
      </c>
      <c r="B1" s="13" t="s">
        <v>1487</v>
      </c>
      <c r="C1" s="13" t="s">
        <v>862</v>
      </c>
      <c r="D1" s="13" t="s">
        <v>863</v>
      </c>
      <c r="E1" s="13" t="s">
        <v>1488</v>
      </c>
      <c r="F1" s="13" t="s">
        <v>859</v>
      </c>
      <c r="G1" s="17" t="s">
        <v>860</v>
      </c>
      <c r="H1" s="13" t="s">
        <v>861</v>
      </c>
      <c r="I1" s="13" t="s">
        <v>862</v>
      </c>
      <c r="J1" s="13" t="s">
        <v>863</v>
      </c>
      <c r="K1" s="13" t="s">
        <v>864</v>
      </c>
      <c r="L1" s="13" t="s">
        <v>865</v>
      </c>
      <c r="M1" s="19" t="s">
        <v>866</v>
      </c>
      <c r="N1" s="19" t="s">
        <v>867</v>
      </c>
      <c r="O1" s="19" t="s">
        <v>868</v>
      </c>
      <c r="P1" s="19" t="s">
        <v>869</v>
      </c>
    </row>
    <row r="2" spans="1:25" ht="14.25" hidden="1" customHeight="1" x14ac:dyDescent="0.25">
      <c r="A2" s="769">
        <v>41510</v>
      </c>
      <c r="B2" s="770">
        <v>1000</v>
      </c>
      <c r="C2" s="770">
        <v>100</v>
      </c>
      <c r="D2" s="770">
        <v>1000</v>
      </c>
      <c r="E2" s="770" t="s">
        <v>1395</v>
      </c>
      <c r="F2" s="771" t="s">
        <v>1396</v>
      </c>
      <c r="G2" s="781">
        <v>-4286.0600000000004</v>
      </c>
      <c r="H2" s="15" t="s">
        <v>871</v>
      </c>
      <c r="I2" s="15" t="s">
        <v>875</v>
      </c>
      <c r="J2" s="15" t="s">
        <v>876</v>
      </c>
      <c r="K2" s="15" t="s">
        <v>933</v>
      </c>
      <c r="L2" s="15"/>
      <c r="Y2" s="14" t="s">
        <v>870</v>
      </c>
    </row>
    <row r="3" spans="1:25" ht="14.25" hidden="1" customHeight="1" x14ac:dyDescent="0.25">
      <c r="A3" s="770">
        <v>41510</v>
      </c>
      <c r="B3" s="770">
        <v>1000</v>
      </c>
      <c r="C3" s="770">
        <v>100</v>
      </c>
      <c r="D3" s="770">
        <v>2500</v>
      </c>
      <c r="E3" s="770" t="s">
        <v>1395</v>
      </c>
      <c r="F3" s="771" t="s">
        <v>1396</v>
      </c>
      <c r="G3" s="781">
        <v>-6947.1</v>
      </c>
      <c r="H3" s="15" t="s">
        <v>871</v>
      </c>
      <c r="I3" s="15" t="s">
        <v>875</v>
      </c>
      <c r="J3" s="15" t="s">
        <v>908</v>
      </c>
      <c r="K3" s="15" t="s">
        <v>933</v>
      </c>
      <c r="L3" s="15"/>
      <c r="M3" s="16" t="s">
        <v>871</v>
      </c>
      <c r="N3" s="20" t="s">
        <v>870</v>
      </c>
      <c r="O3" s="20" t="s">
        <v>870</v>
      </c>
      <c r="P3" s="20" t="s">
        <v>870</v>
      </c>
      <c r="Y3" s="14" t="s">
        <v>21</v>
      </c>
    </row>
    <row r="4" spans="1:25" ht="14.25" hidden="1" customHeight="1" x14ac:dyDescent="0.25">
      <c r="A4" s="770">
        <v>41701</v>
      </c>
      <c r="B4" s="770">
        <v>1000</v>
      </c>
      <c r="C4" s="770">
        <v>100</v>
      </c>
      <c r="D4" s="770">
        <v>1000</v>
      </c>
      <c r="E4" s="770" t="s">
        <v>1395</v>
      </c>
      <c r="F4" s="771" t="s">
        <v>1397</v>
      </c>
      <c r="G4" s="781">
        <v>-5</v>
      </c>
      <c r="H4" s="15" t="s">
        <v>871</v>
      </c>
      <c r="I4" s="15" t="s">
        <v>875</v>
      </c>
      <c r="J4" s="15" t="s">
        <v>876</v>
      </c>
      <c r="K4" s="15" t="s">
        <v>941</v>
      </c>
      <c r="L4" s="15"/>
      <c r="M4" s="20" t="s">
        <v>872</v>
      </c>
      <c r="N4" s="20" t="s">
        <v>21</v>
      </c>
      <c r="O4" s="20" t="s">
        <v>21</v>
      </c>
      <c r="P4" s="20" t="s">
        <v>873</v>
      </c>
      <c r="Y4" s="14">
        <f>'School listing'!F7</f>
        <v>0</v>
      </c>
    </row>
    <row r="5" spans="1:25" ht="14.25" hidden="1" customHeight="1" x14ac:dyDescent="0.25">
      <c r="A5" s="772">
        <v>41701</v>
      </c>
      <c r="B5" s="772">
        <v>1732</v>
      </c>
      <c r="C5" s="772">
        <v>620</v>
      </c>
      <c r="D5" s="772">
        <v>1000</v>
      </c>
      <c r="E5" s="772" t="s">
        <v>1395</v>
      </c>
      <c r="F5" s="772" t="s">
        <v>1397</v>
      </c>
      <c r="G5" s="781">
        <v>-2715</v>
      </c>
      <c r="H5" s="23" t="s">
        <v>978</v>
      </c>
      <c r="I5" s="23" t="s">
        <v>923</v>
      </c>
      <c r="J5" s="23" t="s">
        <v>876</v>
      </c>
      <c r="K5" s="15" t="s">
        <v>941</v>
      </c>
      <c r="L5" s="23"/>
      <c r="M5" s="20" t="s">
        <v>874</v>
      </c>
      <c r="N5" s="20" t="s">
        <v>875</v>
      </c>
      <c r="O5" s="20" t="s">
        <v>876</v>
      </c>
      <c r="P5" s="20" t="s">
        <v>877</v>
      </c>
      <c r="Y5" s="14">
        <f>'School listing'!F8</f>
        <v>0</v>
      </c>
    </row>
    <row r="6" spans="1:25" ht="14.25" hidden="1" customHeight="1" x14ac:dyDescent="0.25">
      <c r="A6" s="770">
        <v>41701</v>
      </c>
      <c r="B6" s="770">
        <v>1737</v>
      </c>
      <c r="C6" s="770">
        <v>620</v>
      </c>
      <c r="D6" s="770">
        <v>1000</v>
      </c>
      <c r="E6" s="770" t="s">
        <v>1395</v>
      </c>
      <c r="F6" s="771" t="s">
        <v>1397</v>
      </c>
      <c r="G6" s="781">
        <v>-6525</v>
      </c>
      <c r="H6" s="15" t="s">
        <v>978</v>
      </c>
      <c r="I6" s="15" t="s">
        <v>923</v>
      </c>
      <c r="J6" s="15" t="s">
        <v>876</v>
      </c>
      <c r="K6" s="15" t="s">
        <v>941</v>
      </c>
      <c r="L6" s="15"/>
      <c r="M6" s="20" t="s">
        <v>878</v>
      </c>
      <c r="N6" s="20" t="s">
        <v>879</v>
      </c>
      <c r="O6" s="20" t="s">
        <v>880</v>
      </c>
      <c r="P6" s="20" t="s">
        <v>881</v>
      </c>
      <c r="Y6" s="14">
        <f>'School listing'!F9</f>
        <v>0</v>
      </c>
    </row>
    <row r="7" spans="1:25" ht="14.25" hidden="1" customHeight="1" x14ac:dyDescent="0.25">
      <c r="A7" s="770">
        <v>41701</v>
      </c>
      <c r="B7" s="770">
        <v>1739</v>
      </c>
      <c r="C7" s="770">
        <v>620</v>
      </c>
      <c r="D7" s="770">
        <v>1000</v>
      </c>
      <c r="E7" s="770" t="s">
        <v>1395</v>
      </c>
      <c r="F7" s="771" t="s">
        <v>1397</v>
      </c>
      <c r="G7" s="781">
        <v>-2811</v>
      </c>
      <c r="H7" s="15" t="s">
        <v>978</v>
      </c>
      <c r="I7" s="15" t="s">
        <v>923</v>
      </c>
      <c r="J7" s="15" t="s">
        <v>876</v>
      </c>
      <c r="K7" s="15" t="s">
        <v>941</v>
      </c>
      <c r="L7" s="15"/>
      <c r="M7" s="20" t="s">
        <v>882</v>
      </c>
      <c r="N7" s="21" t="s">
        <v>883</v>
      </c>
      <c r="O7" s="20" t="s">
        <v>884</v>
      </c>
      <c r="P7" s="20" t="s">
        <v>885</v>
      </c>
      <c r="Y7" s="14">
        <f>'School listing'!F10</f>
        <v>300</v>
      </c>
    </row>
    <row r="8" spans="1:25" ht="14.25" hidden="1" customHeight="1" x14ac:dyDescent="0.25">
      <c r="A8" s="770">
        <v>41701</v>
      </c>
      <c r="B8" s="770">
        <v>1743</v>
      </c>
      <c r="C8" s="770">
        <v>620</v>
      </c>
      <c r="D8" s="770">
        <v>1000</v>
      </c>
      <c r="E8" s="770" t="s">
        <v>1395</v>
      </c>
      <c r="F8" s="771" t="s">
        <v>1397</v>
      </c>
      <c r="G8" s="781">
        <v>-2750</v>
      </c>
      <c r="H8" s="15" t="s">
        <v>978</v>
      </c>
      <c r="I8" s="15" t="s">
        <v>923</v>
      </c>
      <c r="J8" s="15" t="s">
        <v>876</v>
      </c>
      <c r="K8" s="15" t="s">
        <v>941</v>
      </c>
      <c r="L8" s="15"/>
      <c r="M8" s="20" t="s">
        <v>886</v>
      </c>
      <c r="N8" s="21" t="s">
        <v>887</v>
      </c>
      <c r="O8" s="20" t="s">
        <v>888</v>
      </c>
      <c r="P8" s="20" t="s">
        <v>889</v>
      </c>
      <c r="Y8" s="14">
        <f>'School listing'!F11</f>
        <v>0</v>
      </c>
    </row>
    <row r="9" spans="1:25" ht="14.25" hidden="1" customHeight="1" x14ac:dyDescent="0.25">
      <c r="A9" s="770">
        <v>41701</v>
      </c>
      <c r="B9" s="770">
        <v>1745</v>
      </c>
      <c r="C9" s="773">
        <v>620</v>
      </c>
      <c r="D9" s="770">
        <v>1000</v>
      </c>
      <c r="E9" s="770" t="s">
        <v>1395</v>
      </c>
      <c r="F9" s="771" t="s">
        <v>1397</v>
      </c>
      <c r="G9" s="781">
        <v>-2475</v>
      </c>
      <c r="H9" s="15" t="s">
        <v>978</v>
      </c>
      <c r="I9" s="15" t="s">
        <v>923</v>
      </c>
      <c r="J9" s="15" t="s">
        <v>876</v>
      </c>
      <c r="K9" s="15" t="s">
        <v>941</v>
      </c>
      <c r="L9" s="15"/>
      <c r="M9" s="20" t="s">
        <v>890</v>
      </c>
      <c r="N9" s="21" t="s">
        <v>891</v>
      </c>
      <c r="O9" s="20" t="s">
        <v>892</v>
      </c>
      <c r="P9" s="20" t="s">
        <v>893</v>
      </c>
      <c r="Y9" s="14">
        <f>'School listing'!F12</f>
        <v>0</v>
      </c>
    </row>
    <row r="10" spans="1:25" hidden="1" x14ac:dyDescent="0.25">
      <c r="A10" s="774">
        <v>41701</v>
      </c>
      <c r="B10" s="774">
        <v>1751</v>
      </c>
      <c r="C10" s="774">
        <v>620</v>
      </c>
      <c r="D10" s="774">
        <v>1000</v>
      </c>
      <c r="E10" s="774" t="s">
        <v>1395</v>
      </c>
      <c r="F10" s="775" t="s">
        <v>1397</v>
      </c>
      <c r="G10" s="781">
        <v>-1125</v>
      </c>
      <c r="H10" s="15" t="s">
        <v>978</v>
      </c>
      <c r="I10" s="15" t="s">
        <v>923</v>
      </c>
      <c r="J10" s="15" t="s">
        <v>876</v>
      </c>
      <c r="K10" s="15" t="s">
        <v>941</v>
      </c>
      <c r="L10" s="15"/>
      <c r="M10" s="20" t="s">
        <v>894</v>
      </c>
      <c r="N10" s="20" t="s">
        <v>895</v>
      </c>
      <c r="O10" s="20" t="s">
        <v>896</v>
      </c>
      <c r="P10" s="20" t="s">
        <v>897</v>
      </c>
      <c r="Y10" s="14">
        <f>'School listing'!F13</f>
        <v>0</v>
      </c>
    </row>
    <row r="11" spans="1:25" hidden="1" x14ac:dyDescent="0.25">
      <c r="A11" s="774">
        <v>41701</v>
      </c>
      <c r="B11" s="774">
        <v>1752</v>
      </c>
      <c r="C11" s="774">
        <v>615</v>
      </c>
      <c r="D11" s="774">
        <v>1000</v>
      </c>
      <c r="E11" s="774" t="s">
        <v>1395</v>
      </c>
      <c r="F11" s="774" t="s">
        <v>1397</v>
      </c>
      <c r="G11" s="781">
        <v>-600</v>
      </c>
      <c r="H11" s="15" t="s">
        <v>978</v>
      </c>
      <c r="I11" s="15" t="s">
        <v>919</v>
      </c>
      <c r="J11" s="15" t="s">
        <v>876</v>
      </c>
      <c r="K11" s="15" t="s">
        <v>941</v>
      </c>
      <c r="L11" s="15"/>
      <c r="M11" s="20" t="s">
        <v>898</v>
      </c>
      <c r="N11" s="21" t="s">
        <v>899</v>
      </c>
      <c r="O11" s="20" t="s">
        <v>900</v>
      </c>
      <c r="P11" s="20" t="s">
        <v>901</v>
      </c>
      <c r="Y11" s="14">
        <f>'School listing'!F14</f>
        <v>0</v>
      </c>
    </row>
    <row r="12" spans="1:25" hidden="1" x14ac:dyDescent="0.25">
      <c r="A12" s="774">
        <v>41701</v>
      </c>
      <c r="B12" s="774">
        <v>1766</v>
      </c>
      <c r="C12" s="774">
        <v>615</v>
      </c>
      <c r="D12" s="774">
        <v>1000</v>
      </c>
      <c r="E12" s="774" t="s">
        <v>1395</v>
      </c>
      <c r="F12" s="774" t="s">
        <v>1397</v>
      </c>
      <c r="G12" s="781">
        <v>-245</v>
      </c>
      <c r="H12" s="15" t="s">
        <v>978</v>
      </c>
      <c r="I12" s="15" t="s">
        <v>919</v>
      </c>
      <c r="J12" s="15" t="s">
        <v>876</v>
      </c>
      <c r="K12" s="15" t="s">
        <v>941</v>
      </c>
      <c r="L12" s="15"/>
      <c r="M12" s="20" t="s">
        <v>902</v>
      </c>
      <c r="N12" s="21" t="s">
        <v>903</v>
      </c>
      <c r="O12" s="20" t="s">
        <v>904</v>
      </c>
      <c r="P12" s="20" t="s">
        <v>905</v>
      </c>
      <c r="Y12" s="14">
        <f>'School listing'!F15</f>
        <v>0</v>
      </c>
    </row>
    <row r="13" spans="1:25" hidden="1" x14ac:dyDescent="0.25">
      <c r="A13" s="774">
        <v>41701</v>
      </c>
      <c r="B13" s="774">
        <v>1767</v>
      </c>
      <c r="C13" s="774">
        <v>620</v>
      </c>
      <c r="D13" s="774">
        <v>1000</v>
      </c>
      <c r="E13" s="774" t="s">
        <v>1395</v>
      </c>
      <c r="F13" s="774" t="s">
        <v>1397</v>
      </c>
      <c r="G13" s="781">
        <v>-3985</v>
      </c>
      <c r="H13" s="15" t="s">
        <v>978</v>
      </c>
      <c r="I13" s="15" t="s">
        <v>923</v>
      </c>
      <c r="J13" s="15" t="s">
        <v>876</v>
      </c>
      <c r="K13" s="15" t="s">
        <v>941</v>
      </c>
      <c r="L13" s="15"/>
      <c r="M13" s="20" t="s">
        <v>906</v>
      </c>
      <c r="N13" s="20" t="s">
        <v>907</v>
      </c>
      <c r="O13" s="20" t="s">
        <v>908</v>
      </c>
      <c r="P13" s="20" t="s">
        <v>909</v>
      </c>
      <c r="Y13" s="14">
        <f>'School listing'!F16</f>
        <v>0</v>
      </c>
    </row>
    <row r="14" spans="1:25" hidden="1" x14ac:dyDescent="0.25">
      <c r="A14" s="774">
        <v>41701</v>
      </c>
      <c r="B14" s="774">
        <v>1772</v>
      </c>
      <c r="C14" s="774">
        <v>615</v>
      </c>
      <c r="D14" s="774">
        <v>1000</v>
      </c>
      <c r="E14" s="774" t="s">
        <v>1395</v>
      </c>
      <c r="F14" s="774" t="s">
        <v>1397</v>
      </c>
      <c r="G14" s="781">
        <v>-80</v>
      </c>
      <c r="H14" s="15" t="s">
        <v>978</v>
      </c>
      <c r="I14" s="15" t="s">
        <v>919</v>
      </c>
      <c r="J14" s="15" t="s">
        <v>876</v>
      </c>
      <c r="K14" s="15" t="s">
        <v>941</v>
      </c>
      <c r="L14" s="15"/>
      <c r="M14" s="20" t="s">
        <v>910</v>
      </c>
      <c r="N14" s="20" t="s">
        <v>911</v>
      </c>
      <c r="O14" s="20" t="s">
        <v>912</v>
      </c>
      <c r="P14" s="20" t="s">
        <v>913</v>
      </c>
      <c r="Y14" s="14">
        <f>'School listing'!F17</f>
        <v>0</v>
      </c>
    </row>
    <row r="15" spans="1:25" hidden="1" x14ac:dyDescent="0.25">
      <c r="A15" s="774">
        <v>41701</v>
      </c>
      <c r="B15" s="774">
        <v>1791</v>
      </c>
      <c r="C15" s="774">
        <v>615</v>
      </c>
      <c r="D15" s="774">
        <v>1000</v>
      </c>
      <c r="E15" s="774" t="s">
        <v>1395</v>
      </c>
      <c r="F15" s="774" t="s">
        <v>1397</v>
      </c>
      <c r="G15" s="781">
        <v>-40</v>
      </c>
      <c r="H15" s="15" t="s">
        <v>978</v>
      </c>
      <c r="I15" s="15" t="s">
        <v>919</v>
      </c>
      <c r="J15" s="15" t="s">
        <v>876</v>
      </c>
      <c r="K15" s="15" t="s">
        <v>941</v>
      </c>
      <c r="L15" s="15"/>
      <c r="M15" s="20" t="s">
        <v>914</v>
      </c>
      <c r="N15" s="20" t="s">
        <v>915</v>
      </c>
      <c r="O15" s="20" t="s">
        <v>916</v>
      </c>
      <c r="P15" s="22" t="s">
        <v>917</v>
      </c>
      <c r="Y15" s="14">
        <f>'School listing'!F18</f>
        <v>0</v>
      </c>
    </row>
    <row r="16" spans="1:25" hidden="1" x14ac:dyDescent="0.25">
      <c r="A16" s="774">
        <v>41701</v>
      </c>
      <c r="B16" s="776">
        <v>1805</v>
      </c>
      <c r="C16" s="774">
        <v>615</v>
      </c>
      <c r="D16" s="774">
        <v>1000</v>
      </c>
      <c r="E16" s="774" t="s">
        <v>1395</v>
      </c>
      <c r="F16" s="774" t="s">
        <v>1397</v>
      </c>
      <c r="G16" s="781">
        <v>-3260.72</v>
      </c>
      <c r="H16" s="15" t="s">
        <v>978</v>
      </c>
      <c r="I16" s="15" t="s">
        <v>919</v>
      </c>
      <c r="J16" s="15" t="s">
        <v>876</v>
      </c>
      <c r="K16" s="15" t="s">
        <v>941</v>
      </c>
      <c r="L16" s="15"/>
      <c r="M16" s="20" t="s">
        <v>918</v>
      </c>
      <c r="N16" s="20" t="s">
        <v>919</v>
      </c>
      <c r="O16" s="20" t="s">
        <v>920</v>
      </c>
      <c r="P16" s="22" t="s">
        <v>921</v>
      </c>
      <c r="Y16" s="14">
        <f>'School listing'!F19</f>
        <v>0</v>
      </c>
    </row>
    <row r="17" spans="1:25" hidden="1" x14ac:dyDescent="0.25">
      <c r="A17" s="774">
        <v>41701</v>
      </c>
      <c r="B17" s="776">
        <v>1810</v>
      </c>
      <c r="C17" s="774">
        <v>615</v>
      </c>
      <c r="D17" s="774">
        <v>1000</v>
      </c>
      <c r="E17" s="774" t="s">
        <v>1395</v>
      </c>
      <c r="F17" s="774" t="s">
        <v>1397</v>
      </c>
      <c r="G17" s="781">
        <v>-1335</v>
      </c>
      <c r="H17" s="15" t="s">
        <v>978</v>
      </c>
      <c r="I17" s="15" t="s">
        <v>919</v>
      </c>
      <c r="J17" s="15" t="s">
        <v>876</v>
      </c>
      <c r="K17" s="15" t="s">
        <v>941</v>
      </c>
      <c r="L17" s="15"/>
      <c r="M17" s="20" t="s">
        <v>922</v>
      </c>
      <c r="N17" s="20" t="s">
        <v>923</v>
      </c>
      <c r="O17" s="20" t="s">
        <v>924</v>
      </c>
      <c r="P17" s="22" t="s">
        <v>925</v>
      </c>
      <c r="Y17" s="14">
        <f>'School listing'!F20</f>
        <v>0</v>
      </c>
    </row>
    <row r="18" spans="1:25" hidden="1" x14ac:dyDescent="0.25">
      <c r="A18" s="774">
        <v>41701</v>
      </c>
      <c r="B18" s="776">
        <v>1837</v>
      </c>
      <c r="C18" s="774">
        <v>615</v>
      </c>
      <c r="D18" s="774">
        <v>1000</v>
      </c>
      <c r="E18" s="774" t="s">
        <v>1395</v>
      </c>
      <c r="F18" s="774" t="s">
        <v>1397</v>
      </c>
      <c r="G18" s="781">
        <v>-120</v>
      </c>
      <c r="H18" s="15" t="s">
        <v>978</v>
      </c>
      <c r="I18" s="15" t="s">
        <v>919</v>
      </c>
      <c r="J18" s="15" t="s">
        <v>876</v>
      </c>
      <c r="K18" s="15" t="s">
        <v>941</v>
      </c>
      <c r="L18" s="15"/>
      <c r="M18" s="20" t="s">
        <v>926</v>
      </c>
      <c r="N18" s="20" t="s">
        <v>927</v>
      </c>
      <c r="O18" s="20" t="s">
        <v>928</v>
      </c>
      <c r="P18" s="22" t="s">
        <v>929</v>
      </c>
      <c r="Y18" s="14">
        <f>'School listing'!F21</f>
        <v>0</v>
      </c>
    </row>
    <row r="19" spans="1:25" hidden="1" x14ac:dyDescent="0.25">
      <c r="A19" s="774">
        <v>41701</v>
      </c>
      <c r="B19" s="774">
        <v>1854</v>
      </c>
      <c r="C19" s="774">
        <v>615</v>
      </c>
      <c r="D19" s="774">
        <v>1000</v>
      </c>
      <c r="E19" s="774" t="s">
        <v>1395</v>
      </c>
      <c r="F19" s="774" t="s">
        <v>1397</v>
      </c>
      <c r="G19" s="781">
        <v>-400</v>
      </c>
      <c r="H19" s="15" t="s">
        <v>978</v>
      </c>
      <c r="I19" s="15" t="s">
        <v>919</v>
      </c>
      <c r="J19" s="15" t="s">
        <v>876</v>
      </c>
      <c r="K19" s="15" t="s">
        <v>941</v>
      </c>
      <c r="L19" s="15"/>
      <c r="M19" s="20" t="s">
        <v>930</v>
      </c>
      <c r="N19" s="20" t="s">
        <v>931</v>
      </c>
      <c r="O19" s="20" t="s">
        <v>932</v>
      </c>
      <c r="P19" s="22" t="s">
        <v>933</v>
      </c>
      <c r="Y19" s="14">
        <f>'School listing'!F22</f>
        <v>0</v>
      </c>
    </row>
    <row r="20" spans="1:25" hidden="1" x14ac:dyDescent="0.25">
      <c r="A20" s="774">
        <v>41701</v>
      </c>
      <c r="B20" s="774">
        <v>1856</v>
      </c>
      <c r="C20" s="774">
        <v>620</v>
      </c>
      <c r="D20" s="774">
        <v>1000</v>
      </c>
      <c r="E20" s="774" t="s">
        <v>1395</v>
      </c>
      <c r="F20" s="774" t="s">
        <v>1397</v>
      </c>
      <c r="G20" s="781">
        <v>-1593</v>
      </c>
      <c r="H20" s="15" t="s">
        <v>978</v>
      </c>
      <c r="I20" s="15" t="s">
        <v>923</v>
      </c>
      <c r="J20" s="15" t="s">
        <v>876</v>
      </c>
      <c r="K20" s="15" t="s">
        <v>941</v>
      </c>
      <c r="L20" s="15"/>
      <c r="M20" s="20" t="s">
        <v>934</v>
      </c>
      <c r="N20" s="20" t="s">
        <v>935</v>
      </c>
      <c r="O20" s="20" t="s">
        <v>936</v>
      </c>
      <c r="P20" s="22" t="s">
        <v>937</v>
      </c>
      <c r="Y20" s="14">
        <f>'School listing'!F23</f>
        <v>0</v>
      </c>
    </row>
    <row r="21" spans="1:25" hidden="1" x14ac:dyDescent="0.25">
      <c r="A21" s="774">
        <v>41701</v>
      </c>
      <c r="B21" s="774">
        <v>1858</v>
      </c>
      <c r="C21" s="774">
        <v>615</v>
      </c>
      <c r="D21" s="774">
        <v>1000</v>
      </c>
      <c r="E21" s="774" t="s">
        <v>1395</v>
      </c>
      <c r="F21" s="774" t="s">
        <v>1397</v>
      </c>
      <c r="G21" s="781">
        <v>-420</v>
      </c>
      <c r="H21" s="15" t="s">
        <v>978</v>
      </c>
      <c r="I21" s="15" t="s">
        <v>919</v>
      </c>
      <c r="J21" s="15" t="s">
        <v>876</v>
      </c>
      <c r="K21" s="15" t="s">
        <v>941</v>
      </c>
      <c r="L21" s="15"/>
      <c r="M21" s="20" t="s">
        <v>938</v>
      </c>
      <c r="N21" s="20" t="s">
        <v>939</v>
      </c>
      <c r="O21" s="20" t="s">
        <v>940</v>
      </c>
      <c r="P21" s="22" t="s">
        <v>941</v>
      </c>
      <c r="Y21" s="14">
        <f>'School listing'!F24</f>
        <v>0</v>
      </c>
    </row>
    <row r="22" spans="1:25" hidden="1" x14ac:dyDescent="0.25">
      <c r="A22" s="774">
        <v>41701</v>
      </c>
      <c r="B22" s="774">
        <v>1910</v>
      </c>
      <c r="C22" s="774">
        <v>615</v>
      </c>
      <c r="D22" s="774">
        <v>1000</v>
      </c>
      <c r="E22" s="774" t="s">
        <v>1395</v>
      </c>
      <c r="F22" s="774" t="s">
        <v>1397</v>
      </c>
      <c r="G22" s="781">
        <v>-240</v>
      </c>
      <c r="H22" s="15" t="s">
        <v>978</v>
      </c>
      <c r="I22" s="15" t="s">
        <v>919</v>
      </c>
      <c r="J22" s="15" t="s">
        <v>876</v>
      </c>
      <c r="K22" s="15" t="s">
        <v>941</v>
      </c>
      <c r="L22" s="15"/>
      <c r="M22" s="20" t="s">
        <v>942</v>
      </c>
      <c r="P22" s="22" t="s">
        <v>943</v>
      </c>
    </row>
    <row r="23" spans="1:25" hidden="1" x14ac:dyDescent="0.25">
      <c r="A23" s="774">
        <v>41702</v>
      </c>
      <c r="B23" s="774">
        <v>1000</v>
      </c>
      <c r="C23" s="774">
        <v>100</v>
      </c>
      <c r="D23" s="774">
        <v>1000</v>
      </c>
      <c r="E23" s="774" t="s">
        <v>1395</v>
      </c>
      <c r="F23" s="774" t="s">
        <v>1398</v>
      </c>
      <c r="G23" s="781">
        <v>-8465</v>
      </c>
      <c r="H23" s="15" t="s">
        <v>871</v>
      </c>
      <c r="I23" s="15" t="s">
        <v>875</v>
      </c>
      <c r="J23" s="15" t="s">
        <v>876</v>
      </c>
      <c r="K23" s="15" t="s">
        <v>941</v>
      </c>
      <c r="L23" s="15"/>
      <c r="M23" s="20" t="s">
        <v>944</v>
      </c>
      <c r="P23" s="22" t="s">
        <v>945</v>
      </c>
    </row>
    <row r="24" spans="1:25" hidden="1" x14ac:dyDescent="0.25">
      <c r="A24" s="774">
        <v>41791</v>
      </c>
      <c r="B24" s="774">
        <v>1000</v>
      </c>
      <c r="C24" s="774">
        <v>100</v>
      </c>
      <c r="D24" s="774">
        <v>2200</v>
      </c>
      <c r="E24" s="774" t="s">
        <v>1395</v>
      </c>
      <c r="F24" s="774" t="s">
        <v>1399</v>
      </c>
      <c r="G24" s="781">
        <v>-2.48</v>
      </c>
      <c r="H24" s="15" t="s">
        <v>871</v>
      </c>
      <c r="I24" s="15" t="s">
        <v>875</v>
      </c>
      <c r="J24" s="15" t="s">
        <v>888</v>
      </c>
      <c r="K24" s="15" t="s">
        <v>945</v>
      </c>
      <c r="L24" s="15"/>
      <c r="M24" s="20" t="s">
        <v>946</v>
      </c>
      <c r="P24" s="22" t="s">
        <v>947</v>
      </c>
    </row>
    <row r="25" spans="1:25" hidden="1" x14ac:dyDescent="0.25">
      <c r="A25" s="774">
        <v>41791</v>
      </c>
      <c r="B25" s="774">
        <v>1000</v>
      </c>
      <c r="C25" s="774">
        <v>100</v>
      </c>
      <c r="D25" s="774">
        <v>2500</v>
      </c>
      <c r="E25" s="774" t="s">
        <v>1395</v>
      </c>
      <c r="F25" s="774" t="s">
        <v>1399</v>
      </c>
      <c r="G25" s="781">
        <v>2.48</v>
      </c>
      <c r="H25" s="15" t="s">
        <v>871</v>
      </c>
      <c r="I25" s="15" t="s">
        <v>875</v>
      </c>
      <c r="J25" s="15" t="s">
        <v>908</v>
      </c>
      <c r="K25" s="15" t="s">
        <v>945</v>
      </c>
      <c r="L25" s="15"/>
      <c r="M25" s="20" t="s">
        <v>948</v>
      </c>
      <c r="P25" s="666" t="s">
        <v>1287</v>
      </c>
    </row>
    <row r="26" spans="1:25" hidden="1" x14ac:dyDescent="0.25">
      <c r="A26" s="774">
        <v>41791</v>
      </c>
      <c r="B26" s="774">
        <v>1601</v>
      </c>
      <c r="C26" s="774">
        <v>610</v>
      </c>
      <c r="D26" s="774">
        <v>1000</v>
      </c>
      <c r="E26" s="774" t="s">
        <v>1395</v>
      </c>
      <c r="F26" s="774" t="s">
        <v>1399</v>
      </c>
      <c r="G26" s="781">
        <v>0</v>
      </c>
      <c r="H26" s="15" t="s">
        <v>978</v>
      </c>
      <c r="I26" s="15" t="s">
        <v>919</v>
      </c>
      <c r="J26" s="15" t="s">
        <v>876</v>
      </c>
      <c r="K26" s="15" t="s">
        <v>945</v>
      </c>
      <c r="L26" s="15"/>
      <c r="M26" s="20" t="s">
        <v>949</v>
      </c>
      <c r="P26" s="656" t="s">
        <v>1278</v>
      </c>
    </row>
    <row r="27" spans="1:25" hidden="1" x14ac:dyDescent="0.25">
      <c r="A27" s="774">
        <v>41791</v>
      </c>
      <c r="B27" s="774">
        <v>1601</v>
      </c>
      <c r="C27" s="774">
        <v>611</v>
      </c>
      <c r="D27" s="774">
        <v>1000</v>
      </c>
      <c r="E27" s="774" t="s">
        <v>1395</v>
      </c>
      <c r="F27" s="774" t="s">
        <v>1399</v>
      </c>
      <c r="G27" s="781">
        <v>20</v>
      </c>
      <c r="H27" s="15" t="s">
        <v>978</v>
      </c>
      <c r="I27" s="15" t="s">
        <v>919</v>
      </c>
      <c r="J27" s="15" t="s">
        <v>876</v>
      </c>
      <c r="K27" s="15" t="s">
        <v>945</v>
      </c>
      <c r="L27" s="15"/>
      <c r="M27" s="20" t="s">
        <v>951</v>
      </c>
      <c r="P27" s="22" t="s">
        <v>950</v>
      </c>
    </row>
    <row r="28" spans="1:25" hidden="1" x14ac:dyDescent="0.25">
      <c r="A28" s="774">
        <v>41792</v>
      </c>
      <c r="B28" s="774">
        <v>1601</v>
      </c>
      <c r="C28" s="774">
        <v>611</v>
      </c>
      <c r="D28" s="774">
        <v>1000</v>
      </c>
      <c r="E28" s="774" t="s">
        <v>1395</v>
      </c>
      <c r="F28" s="774" t="s">
        <v>1400</v>
      </c>
      <c r="G28" s="781">
        <v>-20</v>
      </c>
      <c r="H28" s="15" t="s">
        <v>978</v>
      </c>
      <c r="I28" s="15" t="s">
        <v>919</v>
      </c>
      <c r="J28" s="15" t="s">
        <v>876</v>
      </c>
      <c r="K28" s="15" t="s">
        <v>945</v>
      </c>
      <c r="L28" s="15"/>
      <c r="M28" s="20" t="s">
        <v>953</v>
      </c>
      <c r="P28" s="656" t="s">
        <v>1279</v>
      </c>
    </row>
    <row r="29" spans="1:25" hidden="1" x14ac:dyDescent="0.25">
      <c r="A29" s="774">
        <v>41792</v>
      </c>
      <c r="B29" s="774">
        <v>1601</v>
      </c>
      <c r="C29" s="774">
        <v>612</v>
      </c>
      <c r="D29" s="774">
        <v>1000</v>
      </c>
      <c r="E29" s="774" t="s">
        <v>1395</v>
      </c>
      <c r="F29" s="774" t="s">
        <v>1400</v>
      </c>
      <c r="G29" s="781">
        <v>-100</v>
      </c>
      <c r="H29" s="15" t="s">
        <v>978</v>
      </c>
      <c r="I29" s="15" t="s">
        <v>919</v>
      </c>
      <c r="J29" s="15" t="s">
        <v>876</v>
      </c>
      <c r="K29" s="15" t="s">
        <v>945</v>
      </c>
      <c r="L29" s="15"/>
      <c r="M29" s="20" t="s">
        <v>955</v>
      </c>
      <c r="P29" s="656" t="s">
        <v>1280</v>
      </c>
    </row>
    <row r="30" spans="1:25" hidden="1" x14ac:dyDescent="0.25">
      <c r="A30" s="774">
        <v>41792</v>
      </c>
      <c r="B30" s="774">
        <v>1601</v>
      </c>
      <c r="C30" s="774">
        <v>613</v>
      </c>
      <c r="D30" s="774">
        <v>1000</v>
      </c>
      <c r="E30" s="774" t="s">
        <v>1395</v>
      </c>
      <c r="F30" s="774" t="s">
        <v>1400</v>
      </c>
      <c r="G30" s="781">
        <v>-100</v>
      </c>
      <c r="H30" s="15" t="s">
        <v>978</v>
      </c>
      <c r="I30" s="15" t="s">
        <v>919</v>
      </c>
      <c r="J30" s="15" t="s">
        <v>876</v>
      </c>
      <c r="K30" s="15" t="s">
        <v>945</v>
      </c>
      <c r="L30" s="15"/>
      <c r="M30" s="20" t="s">
        <v>957</v>
      </c>
      <c r="P30" s="22" t="s">
        <v>952</v>
      </c>
    </row>
    <row r="31" spans="1:25" hidden="1" x14ac:dyDescent="0.25">
      <c r="A31" s="774">
        <v>41792</v>
      </c>
      <c r="B31" s="774">
        <v>1601</v>
      </c>
      <c r="C31" s="774">
        <v>620</v>
      </c>
      <c r="D31" s="774">
        <v>1000</v>
      </c>
      <c r="E31" s="774" t="s">
        <v>1395</v>
      </c>
      <c r="F31" s="774" t="s">
        <v>1400</v>
      </c>
      <c r="G31" s="781">
        <v>-1450</v>
      </c>
      <c r="H31" s="15" t="s">
        <v>978</v>
      </c>
      <c r="I31" s="15" t="s">
        <v>923</v>
      </c>
      <c r="J31" s="15" t="s">
        <v>876</v>
      </c>
      <c r="K31" s="15" t="s">
        <v>945</v>
      </c>
      <c r="L31" s="15"/>
      <c r="M31" s="20" t="s">
        <v>959</v>
      </c>
      <c r="P31" s="22" t="s">
        <v>954</v>
      </c>
    </row>
    <row r="32" spans="1:25" hidden="1" x14ac:dyDescent="0.25">
      <c r="A32" s="774">
        <v>41792</v>
      </c>
      <c r="B32" s="774" t="s">
        <v>1401</v>
      </c>
      <c r="C32" s="774">
        <v>611</v>
      </c>
      <c r="D32" s="774">
        <v>1000</v>
      </c>
      <c r="E32" s="774" t="s">
        <v>1395</v>
      </c>
      <c r="F32" s="774" t="s">
        <v>1400</v>
      </c>
      <c r="G32" s="781">
        <v>-720</v>
      </c>
      <c r="H32" s="15" t="s">
        <v>978</v>
      </c>
      <c r="I32" s="15" t="s">
        <v>919</v>
      </c>
      <c r="J32" s="15" t="s">
        <v>876</v>
      </c>
      <c r="K32" s="15" t="s">
        <v>945</v>
      </c>
      <c r="L32" s="15"/>
      <c r="M32" s="20" t="s">
        <v>961</v>
      </c>
      <c r="P32" s="22" t="s">
        <v>956</v>
      </c>
    </row>
    <row r="33" spans="1:16" hidden="1" x14ac:dyDescent="0.25">
      <c r="A33" s="774">
        <v>41792</v>
      </c>
      <c r="B33" s="774" t="s">
        <v>1402</v>
      </c>
      <c r="C33" s="774">
        <v>620</v>
      </c>
      <c r="D33" s="774">
        <v>1000</v>
      </c>
      <c r="E33" s="774" t="s">
        <v>1395</v>
      </c>
      <c r="F33" s="774" t="s">
        <v>1400</v>
      </c>
      <c r="G33" s="781">
        <v>-450</v>
      </c>
      <c r="H33" s="15" t="s">
        <v>978</v>
      </c>
      <c r="I33" s="15" t="s">
        <v>923</v>
      </c>
      <c r="J33" s="15" t="s">
        <v>876</v>
      </c>
      <c r="K33" s="15" t="s">
        <v>945</v>
      </c>
      <c r="L33" s="15"/>
      <c r="M33" s="20" t="s">
        <v>963</v>
      </c>
      <c r="P33" s="22" t="s">
        <v>958</v>
      </c>
    </row>
    <row r="34" spans="1:16" hidden="1" x14ac:dyDescent="0.25">
      <c r="A34" s="774">
        <v>41792</v>
      </c>
      <c r="B34" s="774" t="s">
        <v>1403</v>
      </c>
      <c r="C34" s="774">
        <v>620</v>
      </c>
      <c r="D34" s="774">
        <v>1000</v>
      </c>
      <c r="E34" s="774" t="s">
        <v>1395</v>
      </c>
      <c r="F34" s="774" t="s">
        <v>1400</v>
      </c>
      <c r="G34" s="781">
        <v>-650</v>
      </c>
      <c r="H34" s="15" t="s">
        <v>978</v>
      </c>
      <c r="I34" s="15" t="s">
        <v>923</v>
      </c>
      <c r="J34" s="15" t="s">
        <v>876</v>
      </c>
      <c r="K34" s="15" t="s">
        <v>945</v>
      </c>
      <c r="L34" s="15"/>
      <c r="M34" s="20" t="s">
        <v>965</v>
      </c>
      <c r="P34" s="22" t="s">
        <v>960</v>
      </c>
    </row>
    <row r="35" spans="1:16" hidden="1" x14ac:dyDescent="0.25">
      <c r="A35" s="774">
        <v>41792</v>
      </c>
      <c r="B35" s="774" t="s">
        <v>1404</v>
      </c>
      <c r="C35" s="774">
        <v>615</v>
      </c>
      <c r="D35" s="774">
        <v>1000</v>
      </c>
      <c r="E35" s="774" t="s">
        <v>1395</v>
      </c>
      <c r="F35" s="774" t="s">
        <v>1400</v>
      </c>
      <c r="G35" s="781">
        <v>-200</v>
      </c>
      <c r="H35" s="15" t="s">
        <v>978</v>
      </c>
      <c r="I35" s="15" t="s">
        <v>919</v>
      </c>
      <c r="J35" s="15" t="s">
        <v>876</v>
      </c>
      <c r="K35" s="15" t="s">
        <v>945</v>
      </c>
      <c r="L35" s="15"/>
      <c r="M35" s="20" t="s">
        <v>967</v>
      </c>
      <c r="P35" s="22" t="s">
        <v>962</v>
      </c>
    </row>
    <row r="36" spans="1:16" hidden="1" x14ac:dyDescent="0.25">
      <c r="A36" s="774">
        <v>41792</v>
      </c>
      <c r="B36" s="774" t="s">
        <v>1405</v>
      </c>
      <c r="C36" s="774">
        <v>620</v>
      </c>
      <c r="D36" s="774">
        <v>1000</v>
      </c>
      <c r="E36" s="774" t="s">
        <v>1395</v>
      </c>
      <c r="F36" s="774" t="s">
        <v>1400</v>
      </c>
      <c r="G36" s="781">
        <v>-2550</v>
      </c>
      <c r="H36" s="15" t="s">
        <v>978</v>
      </c>
      <c r="I36" s="15" t="s">
        <v>923</v>
      </c>
      <c r="J36" s="15" t="s">
        <v>876</v>
      </c>
      <c r="K36" s="15" t="s">
        <v>945</v>
      </c>
      <c r="L36" s="15"/>
      <c r="M36" s="20" t="s">
        <v>970</v>
      </c>
      <c r="P36" s="22" t="s">
        <v>964</v>
      </c>
    </row>
    <row r="37" spans="1:16" hidden="1" x14ac:dyDescent="0.25">
      <c r="A37" s="774">
        <v>41792</v>
      </c>
      <c r="B37" s="774" t="s">
        <v>1406</v>
      </c>
      <c r="C37" s="774">
        <v>615</v>
      </c>
      <c r="D37" s="774">
        <v>1000</v>
      </c>
      <c r="E37" s="774" t="s">
        <v>1395</v>
      </c>
      <c r="F37" s="774" t="s">
        <v>1400</v>
      </c>
      <c r="G37" s="781">
        <v>-200</v>
      </c>
      <c r="H37" s="15" t="s">
        <v>978</v>
      </c>
      <c r="I37" s="15" t="s">
        <v>919</v>
      </c>
      <c r="J37" s="15" t="s">
        <v>876</v>
      </c>
      <c r="K37" s="15" t="s">
        <v>945</v>
      </c>
      <c r="L37" s="15"/>
      <c r="M37" s="20" t="s">
        <v>972</v>
      </c>
      <c r="P37" s="22" t="s">
        <v>966</v>
      </c>
    </row>
    <row r="38" spans="1:16" hidden="1" x14ac:dyDescent="0.25">
      <c r="A38" s="774">
        <v>41810</v>
      </c>
      <c r="B38" s="774">
        <v>1871</v>
      </c>
      <c r="C38" s="774">
        <v>920</v>
      </c>
      <c r="D38" s="774">
        <v>3300</v>
      </c>
      <c r="E38" s="774" t="s">
        <v>1395</v>
      </c>
      <c r="F38" s="774" t="s">
        <v>1407</v>
      </c>
      <c r="G38" s="781">
        <v>-43410</v>
      </c>
      <c r="H38" s="15" t="s">
        <v>978</v>
      </c>
      <c r="I38" s="15" t="s">
        <v>939</v>
      </c>
      <c r="J38" s="15" t="s">
        <v>928</v>
      </c>
      <c r="K38" s="15" t="s">
        <v>947</v>
      </c>
      <c r="L38" s="15"/>
      <c r="M38" s="20" t="s">
        <v>974</v>
      </c>
      <c r="P38" s="22" t="s">
        <v>968</v>
      </c>
    </row>
    <row r="39" spans="1:16" hidden="1" x14ac:dyDescent="0.25">
      <c r="A39" s="774">
        <v>41920</v>
      </c>
      <c r="B39" s="774">
        <v>1000</v>
      </c>
      <c r="C39" s="774">
        <v>100</v>
      </c>
      <c r="D39" s="774">
        <v>1000</v>
      </c>
      <c r="E39" s="774" t="s">
        <v>1395</v>
      </c>
      <c r="F39" s="774" t="s">
        <v>1408</v>
      </c>
      <c r="G39" s="781">
        <v>-147.13</v>
      </c>
      <c r="H39" s="15" t="s">
        <v>871</v>
      </c>
      <c r="I39" s="15" t="s">
        <v>875</v>
      </c>
      <c r="J39" s="15" t="s">
        <v>876</v>
      </c>
      <c r="K39" s="15" t="s">
        <v>950</v>
      </c>
      <c r="L39" s="15"/>
      <c r="M39" s="20" t="s">
        <v>976</v>
      </c>
      <c r="P39" s="22" t="s">
        <v>969</v>
      </c>
    </row>
    <row r="40" spans="1:16" hidden="1" x14ac:dyDescent="0.25">
      <c r="A40" s="774">
        <v>41922</v>
      </c>
      <c r="B40" s="774">
        <v>1000</v>
      </c>
      <c r="C40" s="774">
        <v>100</v>
      </c>
      <c r="D40" s="774">
        <v>1000</v>
      </c>
      <c r="E40" s="774" t="s">
        <v>1395</v>
      </c>
      <c r="F40" s="774" t="s">
        <v>1409</v>
      </c>
      <c r="G40" s="781">
        <v>-177.69</v>
      </c>
      <c r="H40" s="15" t="s">
        <v>871</v>
      </c>
      <c r="I40" s="15" t="s">
        <v>875</v>
      </c>
      <c r="J40" s="15" t="s">
        <v>876</v>
      </c>
      <c r="K40" s="15" t="s">
        <v>950</v>
      </c>
      <c r="L40" s="15"/>
      <c r="M40" s="20" t="s">
        <v>978</v>
      </c>
      <c r="P40" s="22" t="s">
        <v>971</v>
      </c>
    </row>
    <row r="41" spans="1:16" hidden="1" x14ac:dyDescent="0.25">
      <c r="A41" s="774">
        <v>41922</v>
      </c>
      <c r="B41" s="774">
        <v>1805</v>
      </c>
      <c r="C41" s="774">
        <v>615</v>
      </c>
      <c r="D41" s="774">
        <v>1000</v>
      </c>
      <c r="E41" s="774" t="s">
        <v>1395</v>
      </c>
      <c r="F41" s="774" t="s">
        <v>1409</v>
      </c>
      <c r="G41" s="781">
        <v>-264</v>
      </c>
      <c r="H41" s="15" t="s">
        <v>978</v>
      </c>
      <c r="I41" s="15" t="s">
        <v>919</v>
      </c>
      <c r="J41" s="15" t="s">
        <v>876</v>
      </c>
      <c r="K41" s="15" t="s">
        <v>950</v>
      </c>
      <c r="L41" s="15"/>
      <c r="M41" s="20" t="s">
        <v>980</v>
      </c>
      <c r="P41" s="22" t="s">
        <v>973</v>
      </c>
    </row>
    <row r="42" spans="1:16" hidden="1" x14ac:dyDescent="0.25">
      <c r="A42" s="774">
        <v>41949</v>
      </c>
      <c r="B42" s="774">
        <v>1000</v>
      </c>
      <c r="C42" s="774">
        <v>100</v>
      </c>
      <c r="D42" s="774">
        <v>1000</v>
      </c>
      <c r="E42" s="774" t="s">
        <v>1395</v>
      </c>
      <c r="F42" s="774" t="s">
        <v>1410</v>
      </c>
      <c r="G42" s="780">
        <v>-119406.32</v>
      </c>
      <c r="H42" s="14" t="s">
        <v>871</v>
      </c>
      <c r="I42" s="14" t="s">
        <v>875</v>
      </c>
      <c r="J42" s="14" t="s">
        <v>876</v>
      </c>
      <c r="K42" s="14" t="s">
        <v>1287</v>
      </c>
      <c r="P42" s="22" t="s">
        <v>975</v>
      </c>
    </row>
    <row r="43" spans="1:16" hidden="1" x14ac:dyDescent="0.25">
      <c r="A43" s="774">
        <v>41971</v>
      </c>
      <c r="B43" s="774">
        <v>1534</v>
      </c>
      <c r="C43" s="774">
        <v>100</v>
      </c>
      <c r="D43" s="774">
        <v>1000</v>
      </c>
      <c r="E43" s="774" t="s">
        <v>1395</v>
      </c>
      <c r="F43" s="774" t="s">
        <v>1411</v>
      </c>
      <c r="G43" s="780">
        <v>-3434.06</v>
      </c>
      <c r="H43" s="14" t="s">
        <v>978</v>
      </c>
      <c r="I43" s="14" t="s">
        <v>875</v>
      </c>
      <c r="J43" s="14" t="s">
        <v>876</v>
      </c>
      <c r="K43" s="14" t="s">
        <v>1287</v>
      </c>
      <c r="P43" s="22" t="s">
        <v>977</v>
      </c>
    </row>
    <row r="44" spans="1:16" hidden="1" x14ac:dyDescent="0.25">
      <c r="A44" s="774">
        <v>41971</v>
      </c>
      <c r="B44" s="774">
        <v>1542</v>
      </c>
      <c r="C44" s="774">
        <v>100</v>
      </c>
      <c r="D44" s="774">
        <v>1000</v>
      </c>
      <c r="E44" s="774" t="s">
        <v>1395</v>
      </c>
      <c r="F44" s="774" t="s">
        <v>1411</v>
      </c>
      <c r="G44" s="780">
        <v>-10169.36</v>
      </c>
      <c r="H44" s="14" t="s">
        <v>978</v>
      </c>
      <c r="I44" s="14" t="s">
        <v>875</v>
      </c>
      <c r="J44" s="14" t="s">
        <v>876</v>
      </c>
      <c r="K44" s="14" t="s">
        <v>1287</v>
      </c>
      <c r="P44" s="22" t="s">
        <v>979</v>
      </c>
    </row>
    <row r="45" spans="1:16" hidden="1" x14ac:dyDescent="0.25">
      <c r="A45" s="774">
        <v>41980</v>
      </c>
      <c r="B45" s="774">
        <v>1000</v>
      </c>
      <c r="C45" s="774">
        <v>100</v>
      </c>
      <c r="D45" s="774">
        <v>1000</v>
      </c>
      <c r="E45" s="774" t="s">
        <v>1395</v>
      </c>
      <c r="F45" s="774" t="s">
        <v>1412</v>
      </c>
      <c r="G45" s="780">
        <v>-7752.56</v>
      </c>
      <c r="H45" s="14" t="s">
        <v>871</v>
      </c>
      <c r="I45" s="14" t="s">
        <v>875</v>
      </c>
      <c r="J45" s="14" t="s">
        <v>876</v>
      </c>
      <c r="K45" s="14" t="s">
        <v>1287</v>
      </c>
    </row>
    <row r="46" spans="1:16" hidden="1" x14ac:dyDescent="0.25">
      <c r="A46" s="774">
        <v>41990</v>
      </c>
      <c r="B46" s="774">
        <v>1000</v>
      </c>
      <c r="C46" s="774">
        <v>100</v>
      </c>
      <c r="D46" s="774">
        <v>1000</v>
      </c>
      <c r="E46" s="774" t="s">
        <v>1395</v>
      </c>
      <c r="F46" s="774" t="s">
        <v>356</v>
      </c>
      <c r="G46" s="780">
        <v>-1598.51</v>
      </c>
      <c r="H46" s="14" t="s">
        <v>871</v>
      </c>
      <c r="I46" s="14" t="s">
        <v>875</v>
      </c>
      <c r="J46" s="14" t="s">
        <v>876</v>
      </c>
      <c r="K46" s="14" t="s">
        <v>1287</v>
      </c>
    </row>
    <row r="47" spans="1:16" hidden="1" x14ac:dyDescent="0.25">
      <c r="A47" s="774">
        <v>43110</v>
      </c>
      <c r="B47" s="774">
        <v>1000</v>
      </c>
      <c r="C47" s="774">
        <v>100</v>
      </c>
      <c r="D47" s="774">
        <v>1000</v>
      </c>
      <c r="E47" s="774" t="s">
        <v>1395</v>
      </c>
      <c r="F47" s="774" t="s">
        <v>1413</v>
      </c>
      <c r="G47" s="780">
        <v>-3005126.19</v>
      </c>
      <c r="H47" s="14" t="s">
        <v>871</v>
      </c>
      <c r="I47" s="14" t="s">
        <v>875</v>
      </c>
      <c r="J47" s="14" t="s">
        <v>876</v>
      </c>
      <c r="K47" s="14" t="s">
        <v>960</v>
      </c>
    </row>
    <row r="48" spans="1:16" hidden="1" x14ac:dyDescent="0.25">
      <c r="A48" s="774">
        <v>43110</v>
      </c>
      <c r="B48" s="774">
        <v>1710</v>
      </c>
      <c r="C48" s="774">
        <v>100</v>
      </c>
      <c r="D48" s="774">
        <v>1000</v>
      </c>
      <c r="E48" s="774" t="s">
        <v>1395</v>
      </c>
      <c r="F48" s="774" t="s">
        <v>1413</v>
      </c>
      <c r="G48" s="780">
        <v>-4879.5200000000004</v>
      </c>
      <c r="H48" s="14" t="s">
        <v>978</v>
      </c>
      <c r="I48" s="14" t="s">
        <v>875</v>
      </c>
      <c r="J48" s="14" t="s">
        <v>876</v>
      </c>
      <c r="K48" s="14" t="s">
        <v>960</v>
      </c>
    </row>
    <row r="49" spans="1:11" hidden="1" x14ac:dyDescent="0.25">
      <c r="A49" s="774">
        <v>43110</v>
      </c>
      <c r="B49" s="774">
        <v>1732</v>
      </c>
      <c r="C49" s="774">
        <v>100</v>
      </c>
      <c r="D49" s="774">
        <v>1000</v>
      </c>
      <c r="E49" s="774" t="s">
        <v>1395</v>
      </c>
      <c r="F49" s="774" t="s">
        <v>1413</v>
      </c>
      <c r="G49" s="780">
        <v>-487.29</v>
      </c>
      <c r="H49" s="14" t="s">
        <v>978</v>
      </c>
      <c r="I49" s="14" t="s">
        <v>875</v>
      </c>
      <c r="J49" s="14" t="s">
        <v>876</v>
      </c>
      <c r="K49" s="14" t="s">
        <v>960</v>
      </c>
    </row>
    <row r="50" spans="1:11" hidden="1" x14ac:dyDescent="0.25">
      <c r="A50" s="774">
        <v>43110</v>
      </c>
      <c r="B50" s="774">
        <v>1734</v>
      </c>
      <c r="C50" s="774">
        <v>100</v>
      </c>
      <c r="D50" s="774">
        <v>1000</v>
      </c>
      <c r="E50" s="774" t="s">
        <v>1395</v>
      </c>
      <c r="F50" s="774" t="s">
        <v>1413</v>
      </c>
      <c r="G50" s="780">
        <v>-619.91999999999996</v>
      </c>
      <c r="H50" s="14" t="s">
        <v>978</v>
      </c>
      <c r="I50" s="14" t="s">
        <v>875</v>
      </c>
      <c r="J50" s="14" t="s">
        <v>876</v>
      </c>
      <c r="K50" s="14" t="s">
        <v>960</v>
      </c>
    </row>
    <row r="51" spans="1:11" hidden="1" x14ac:dyDescent="0.25">
      <c r="A51" s="774">
        <v>43110</v>
      </c>
      <c r="B51" s="774">
        <v>1745</v>
      </c>
      <c r="C51" s="774">
        <v>100</v>
      </c>
      <c r="D51" s="774">
        <v>1000</v>
      </c>
      <c r="E51" s="774" t="s">
        <v>1395</v>
      </c>
      <c r="F51" s="774" t="s">
        <v>1413</v>
      </c>
      <c r="G51" s="780">
        <v>-1812.07</v>
      </c>
      <c r="H51" s="14" t="s">
        <v>978</v>
      </c>
      <c r="I51" s="14" t="s">
        <v>875</v>
      </c>
      <c r="J51" s="14" t="s">
        <v>876</v>
      </c>
      <c r="K51" s="14" t="s">
        <v>960</v>
      </c>
    </row>
    <row r="52" spans="1:11" hidden="1" x14ac:dyDescent="0.25">
      <c r="A52" s="774">
        <v>43110</v>
      </c>
      <c r="B52" s="774">
        <v>1751</v>
      </c>
      <c r="C52" s="774">
        <v>100</v>
      </c>
      <c r="D52" s="774">
        <v>1000</v>
      </c>
      <c r="E52" s="774" t="s">
        <v>1395</v>
      </c>
      <c r="F52" s="774" t="s">
        <v>1413</v>
      </c>
      <c r="G52" s="780">
        <v>-241.07</v>
      </c>
      <c r="H52" s="14" t="s">
        <v>978</v>
      </c>
      <c r="I52" s="14" t="s">
        <v>875</v>
      </c>
      <c r="J52" s="14" t="s">
        <v>876</v>
      </c>
      <c r="K52" s="14" t="s">
        <v>960</v>
      </c>
    </row>
    <row r="53" spans="1:11" hidden="1" x14ac:dyDescent="0.25">
      <c r="A53" s="774">
        <v>43110</v>
      </c>
      <c r="B53" s="774">
        <v>1767</v>
      </c>
      <c r="C53" s="774">
        <v>100</v>
      </c>
      <c r="D53" s="774">
        <v>1000</v>
      </c>
      <c r="E53" s="774" t="s">
        <v>1395</v>
      </c>
      <c r="F53" s="774" t="s">
        <v>1413</v>
      </c>
      <c r="G53" s="780">
        <v>-562.70000000000005</v>
      </c>
      <c r="H53" s="14" t="s">
        <v>978</v>
      </c>
      <c r="I53" s="14" t="s">
        <v>875</v>
      </c>
      <c r="J53" s="14" t="s">
        <v>876</v>
      </c>
      <c r="K53" s="14" t="s">
        <v>960</v>
      </c>
    </row>
    <row r="54" spans="1:11" hidden="1" x14ac:dyDescent="0.25">
      <c r="A54" s="774">
        <v>43110</v>
      </c>
      <c r="B54" s="774">
        <v>1856</v>
      </c>
      <c r="C54" s="774">
        <v>100</v>
      </c>
      <c r="D54" s="774">
        <v>1000</v>
      </c>
      <c r="E54" s="774" t="s">
        <v>1395</v>
      </c>
      <c r="F54" s="774" t="s">
        <v>1413</v>
      </c>
      <c r="G54" s="780">
        <v>-118.57</v>
      </c>
      <c r="H54" s="14" t="s">
        <v>978</v>
      </c>
      <c r="I54" s="14" t="s">
        <v>875</v>
      </c>
      <c r="J54" s="14" t="s">
        <v>876</v>
      </c>
      <c r="K54" s="14" t="s">
        <v>960</v>
      </c>
    </row>
    <row r="55" spans="1:11" hidden="1" x14ac:dyDescent="0.25">
      <c r="A55" s="774">
        <v>43110</v>
      </c>
      <c r="B55" s="774">
        <v>1858</v>
      </c>
      <c r="C55" s="774">
        <v>100</v>
      </c>
      <c r="D55" s="774">
        <v>1000</v>
      </c>
      <c r="E55" s="774" t="s">
        <v>1395</v>
      </c>
      <c r="F55" s="774" t="s">
        <v>1413</v>
      </c>
      <c r="G55" s="780">
        <v>-1015.69</v>
      </c>
      <c r="H55" s="14" t="s">
        <v>978</v>
      </c>
      <c r="I55" s="14" t="s">
        <v>875</v>
      </c>
      <c r="J55" s="14" t="s">
        <v>876</v>
      </c>
      <c r="K55" s="14" t="s">
        <v>960</v>
      </c>
    </row>
    <row r="56" spans="1:11" hidden="1" x14ac:dyDescent="0.25">
      <c r="A56" s="774">
        <v>43110</v>
      </c>
      <c r="B56" s="774">
        <v>1910</v>
      </c>
      <c r="C56" s="774">
        <v>100</v>
      </c>
      <c r="D56" s="774">
        <v>1000</v>
      </c>
      <c r="E56" s="774" t="s">
        <v>1395</v>
      </c>
      <c r="F56" s="774" t="s">
        <v>1413</v>
      </c>
      <c r="G56" s="780">
        <v>-597.62</v>
      </c>
      <c r="H56" s="14" t="s">
        <v>978</v>
      </c>
      <c r="I56" s="14" t="s">
        <v>875</v>
      </c>
      <c r="J56" s="14" t="s">
        <v>876</v>
      </c>
      <c r="K56" s="14" t="s">
        <v>960</v>
      </c>
    </row>
    <row r="57" spans="1:11" hidden="1" x14ac:dyDescent="0.25">
      <c r="A57" s="774">
        <v>43111</v>
      </c>
      <c r="B57" s="774">
        <v>1000</v>
      </c>
      <c r="C57" s="774">
        <v>100</v>
      </c>
      <c r="D57" s="774">
        <v>1000</v>
      </c>
      <c r="E57" s="774" t="s">
        <v>1395</v>
      </c>
      <c r="F57" s="774" t="s">
        <v>1414</v>
      </c>
      <c r="G57" s="780">
        <v>-21598.66</v>
      </c>
      <c r="H57" s="14" t="s">
        <v>871</v>
      </c>
      <c r="I57" s="14" t="s">
        <v>875</v>
      </c>
      <c r="J57" s="14" t="s">
        <v>876</v>
      </c>
      <c r="K57" s="14" t="s">
        <v>960</v>
      </c>
    </row>
    <row r="58" spans="1:11" hidden="1" x14ac:dyDescent="0.25">
      <c r="A58" s="774">
        <v>43201</v>
      </c>
      <c r="B58" s="774">
        <v>1012</v>
      </c>
      <c r="C58" s="774">
        <v>100</v>
      </c>
      <c r="D58" s="774">
        <v>1000</v>
      </c>
      <c r="E58" s="774" t="s">
        <v>1395</v>
      </c>
      <c r="F58" s="774" t="s">
        <v>1415</v>
      </c>
      <c r="G58" s="780">
        <v>-300996.96999999997</v>
      </c>
      <c r="H58" s="14" t="s">
        <v>872</v>
      </c>
      <c r="I58" s="14" t="s">
        <v>875</v>
      </c>
      <c r="J58" s="14" t="s">
        <v>876</v>
      </c>
      <c r="K58" s="14" t="s">
        <v>964</v>
      </c>
    </row>
    <row r="59" spans="1:11" hidden="1" x14ac:dyDescent="0.25">
      <c r="A59" s="774">
        <v>43202</v>
      </c>
      <c r="B59" s="774">
        <v>1020</v>
      </c>
      <c r="C59" s="774">
        <v>100</v>
      </c>
      <c r="D59" s="774">
        <v>1000</v>
      </c>
      <c r="E59" s="774" t="s">
        <v>1395</v>
      </c>
      <c r="F59" s="774" t="s">
        <v>495</v>
      </c>
      <c r="G59" s="780">
        <v>-25168.74</v>
      </c>
      <c r="H59" s="14" t="s">
        <v>874</v>
      </c>
      <c r="I59" s="14" t="s">
        <v>875</v>
      </c>
      <c r="J59" s="14" t="s">
        <v>876</v>
      </c>
      <c r="K59" s="14" t="s">
        <v>964</v>
      </c>
    </row>
    <row r="60" spans="1:11" hidden="1" x14ac:dyDescent="0.25">
      <c r="A60" s="774">
        <v>43206</v>
      </c>
      <c r="B60" s="774">
        <v>1487</v>
      </c>
      <c r="C60" s="774">
        <v>100</v>
      </c>
      <c r="D60" s="774">
        <v>1000</v>
      </c>
      <c r="E60" s="774" t="s">
        <v>1395</v>
      </c>
      <c r="F60" s="774" t="s">
        <v>1416</v>
      </c>
      <c r="G60" s="780">
        <v>-79328.94</v>
      </c>
      <c r="H60" s="14" t="s">
        <v>974</v>
      </c>
      <c r="I60" s="14" t="s">
        <v>875</v>
      </c>
      <c r="J60" s="14" t="s">
        <v>876</v>
      </c>
      <c r="K60" s="14" t="s">
        <v>964</v>
      </c>
    </row>
    <row r="61" spans="1:11" hidden="1" x14ac:dyDescent="0.25">
      <c r="A61" s="774">
        <v>44506</v>
      </c>
      <c r="B61" s="774">
        <v>1140</v>
      </c>
      <c r="C61" s="774">
        <v>100</v>
      </c>
      <c r="D61" s="774">
        <v>1000</v>
      </c>
      <c r="E61" s="774" t="s">
        <v>1395</v>
      </c>
      <c r="F61" s="774" t="s">
        <v>1417</v>
      </c>
      <c r="G61" s="780">
        <v>-4833.99</v>
      </c>
      <c r="H61" s="14" t="s">
        <v>890</v>
      </c>
      <c r="I61" s="14" t="s">
        <v>875</v>
      </c>
      <c r="J61" s="14" t="s">
        <v>876</v>
      </c>
      <c r="K61" s="14" t="s">
        <v>971</v>
      </c>
    </row>
    <row r="62" spans="1:11" hidden="1" x14ac:dyDescent="0.25">
      <c r="A62" s="774">
        <v>44511</v>
      </c>
      <c r="B62" s="774">
        <v>1190</v>
      </c>
      <c r="C62" s="774">
        <v>100</v>
      </c>
      <c r="D62" s="774">
        <v>1000</v>
      </c>
      <c r="E62" s="774" t="s">
        <v>1395</v>
      </c>
      <c r="F62" s="774" t="s">
        <v>1418</v>
      </c>
      <c r="G62" s="780">
        <v>-737.75</v>
      </c>
      <c r="H62" s="14" t="s">
        <v>902</v>
      </c>
      <c r="I62" s="14" t="s">
        <v>875</v>
      </c>
      <c r="J62" s="14" t="s">
        <v>876</v>
      </c>
      <c r="K62" s="14" t="s">
        <v>971</v>
      </c>
    </row>
    <row r="63" spans="1:11" x14ac:dyDescent="0.25">
      <c r="A63" s="774">
        <v>44526</v>
      </c>
      <c r="B63" s="774">
        <v>1220</v>
      </c>
      <c r="C63" s="774">
        <v>200</v>
      </c>
      <c r="D63" s="774">
        <v>1000</v>
      </c>
      <c r="E63" s="774" t="s">
        <v>1395</v>
      </c>
      <c r="F63" s="774" t="s">
        <v>1419</v>
      </c>
      <c r="G63" s="780">
        <v>-50736.05</v>
      </c>
      <c r="H63" s="14" t="s">
        <v>914</v>
      </c>
      <c r="I63" s="14" t="s">
        <v>879</v>
      </c>
      <c r="J63" s="14" t="s">
        <v>876</v>
      </c>
      <c r="K63" s="14" t="s">
        <v>971</v>
      </c>
    </row>
    <row r="64" spans="1:11" hidden="1" x14ac:dyDescent="0.25">
      <c r="A64" s="774">
        <v>56111</v>
      </c>
      <c r="B64" s="774">
        <v>1000</v>
      </c>
      <c r="C64" s="774">
        <v>100</v>
      </c>
      <c r="D64" s="774">
        <v>1000</v>
      </c>
      <c r="E64" s="774" t="s">
        <v>1395</v>
      </c>
      <c r="F64" s="774" t="s">
        <v>1420</v>
      </c>
      <c r="G64" s="777">
        <v>1209.3</v>
      </c>
      <c r="H64" s="14" t="s">
        <v>871</v>
      </c>
      <c r="I64" s="14" t="s">
        <v>875</v>
      </c>
      <c r="J64" s="14" t="s">
        <v>876</v>
      </c>
      <c r="K64" s="14" t="s">
        <v>873</v>
      </c>
    </row>
    <row r="65" spans="1:11" hidden="1" x14ac:dyDescent="0.25">
      <c r="A65" s="774">
        <v>56111</v>
      </c>
      <c r="B65" s="774">
        <v>1000</v>
      </c>
      <c r="C65" s="774">
        <v>100</v>
      </c>
      <c r="D65" s="774">
        <v>2100</v>
      </c>
      <c r="E65" s="774" t="s">
        <v>1395</v>
      </c>
      <c r="F65" s="774" t="s">
        <v>1420</v>
      </c>
      <c r="G65" s="777">
        <v>144999.03</v>
      </c>
      <c r="H65" s="14" t="s">
        <v>871</v>
      </c>
      <c r="I65" s="14" t="s">
        <v>875</v>
      </c>
      <c r="J65" s="14" t="s">
        <v>884</v>
      </c>
      <c r="K65" s="14" t="s">
        <v>873</v>
      </c>
    </row>
    <row r="66" spans="1:11" hidden="1" x14ac:dyDescent="0.25">
      <c r="A66" s="774">
        <v>56111</v>
      </c>
      <c r="B66" s="774">
        <v>1000</v>
      </c>
      <c r="C66" s="774">
        <v>100</v>
      </c>
      <c r="D66" s="774">
        <v>2110</v>
      </c>
      <c r="E66" s="774" t="s">
        <v>1395</v>
      </c>
      <c r="F66" s="774" t="s">
        <v>1420</v>
      </c>
      <c r="G66" s="777">
        <v>3997.86</v>
      </c>
      <c r="H66" s="14" t="s">
        <v>871</v>
      </c>
      <c r="I66" s="14" t="s">
        <v>875</v>
      </c>
      <c r="J66" s="14" t="s">
        <v>884</v>
      </c>
      <c r="K66" s="14" t="s">
        <v>873</v>
      </c>
    </row>
    <row r="67" spans="1:11" hidden="1" x14ac:dyDescent="0.25">
      <c r="A67" s="774">
        <v>56111</v>
      </c>
      <c r="B67" s="774">
        <v>1000</v>
      </c>
      <c r="C67" s="774">
        <v>100</v>
      </c>
      <c r="D67" s="774">
        <v>2200</v>
      </c>
      <c r="E67" s="774" t="s">
        <v>1395</v>
      </c>
      <c r="F67" s="774" t="s">
        <v>1420</v>
      </c>
      <c r="G67" s="777">
        <v>37262.36</v>
      </c>
      <c r="H67" s="14" t="s">
        <v>871</v>
      </c>
      <c r="I67" s="14" t="s">
        <v>875</v>
      </c>
      <c r="J67" s="14" t="s">
        <v>888</v>
      </c>
      <c r="K67" s="14" t="s">
        <v>873</v>
      </c>
    </row>
    <row r="68" spans="1:11" hidden="1" x14ac:dyDescent="0.25">
      <c r="A68" s="774">
        <v>56111</v>
      </c>
      <c r="B68" s="774">
        <v>1000</v>
      </c>
      <c r="C68" s="774">
        <v>100</v>
      </c>
      <c r="D68" s="774">
        <v>2300</v>
      </c>
      <c r="E68" s="774" t="s">
        <v>1395</v>
      </c>
      <c r="F68" s="774" t="s">
        <v>1420</v>
      </c>
      <c r="G68" s="777">
        <v>18115.900000000001</v>
      </c>
      <c r="H68" s="14" t="s">
        <v>871</v>
      </c>
      <c r="I68" s="14" t="s">
        <v>875</v>
      </c>
      <c r="J68" s="14" t="s">
        <v>900</v>
      </c>
      <c r="K68" s="14" t="s">
        <v>873</v>
      </c>
    </row>
    <row r="69" spans="1:11" hidden="1" x14ac:dyDescent="0.25">
      <c r="A69" s="774">
        <v>56111</v>
      </c>
      <c r="B69" s="774">
        <v>1000</v>
      </c>
      <c r="C69" s="774">
        <v>100</v>
      </c>
      <c r="D69" s="774">
        <v>2310</v>
      </c>
      <c r="E69" s="774" t="s">
        <v>1395</v>
      </c>
      <c r="F69" s="774" t="s">
        <v>1420</v>
      </c>
      <c r="G69" s="777">
        <v>3726.18</v>
      </c>
      <c r="H69" s="14" t="s">
        <v>871</v>
      </c>
      <c r="I69" s="14" t="s">
        <v>875</v>
      </c>
      <c r="J69" s="14" t="s">
        <v>900</v>
      </c>
      <c r="K69" s="14" t="s">
        <v>873</v>
      </c>
    </row>
    <row r="70" spans="1:11" hidden="1" x14ac:dyDescent="0.25">
      <c r="A70" s="774">
        <v>56111</v>
      </c>
      <c r="B70" s="774">
        <v>1000</v>
      </c>
      <c r="C70" s="774">
        <v>100</v>
      </c>
      <c r="D70" s="774">
        <v>2400</v>
      </c>
      <c r="E70" s="774" t="s">
        <v>1395</v>
      </c>
      <c r="F70" s="774" t="s">
        <v>1420</v>
      </c>
      <c r="G70" s="777">
        <v>51262.82</v>
      </c>
      <c r="H70" s="14" t="s">
        <v>871</v>
      </c>
      <c r="I70" s="14" t="s">
        <v>875</v>
      </c>
      <c r="J70" s="14" t="s">
        <v>904</v>
      </c>
      <c r="K70" s="14" t="s">
        <v>873</v>
      </c>
    </row>
    <row r="71" spans="1:11" hidden="1" x14ac:dyDescent="0.25">
      <c r="A71" s="774">
        <v>56111</v>
      </c>
      <c r="B71" s="774">
        <v>1000</v>
      </c>
      <c r="C71" s="774">
        <v>100</v>
      </c>
      <c r="D71" s="774">
        <v>2410</v>
      </c>
      <c r="E71" s="774" t="s">
        <v>1395</v>
      </c>
      <c r="F71" s="774" t="s">
        <v>1420</v>
      </c>
      <c r="G71" s="777">
        <v>5640.61</v>
      </c>
      <c r="H71" s="14" t="s">
        <v>871</v>
      </c>
      <c r="I71" s="14" t="s">
        <v>875</v>
      </c>
      <c r="J71" s="14" t="s">
        <v>904</v>
      </c>
      <c r="K71" s="14" t="s">
        <v>873</v>
      </c>
    </row>
    <row r="72" spans="1:11" hidden="1" x14ac:dyDescent="0.25">
      <c r="A72" s="774">
        <v>56111</v>
      </c>
      <c r="B72" s="774">
        <v>1000</v>
      </c>
      <c r="C72" s="774">
        <v>100</v>
      </c>
      <c r="D72" s="774">
        <v>2500</v>
      </c>
      <c r="E72" s="774" t="s">
        <v>1395</v>
      </c>
      <c r="F72" s="774" t="s">
        <v>1420</v>
      </c>
      <c r="G72" s="777">
        <v>248857.79</v>
      </c>
      <c r="H72" s="14" t="s">
        <v>871</v>
      </c>
      <c r="I72" s="14" t="s">
        <v>875</v>
      </c>
      <c r="J72" s="14" t="s">
        <v>908</v>
      </c>
      <c r="K72" s="14" t="s">
        <v>873</v>
      </c>
    </row>
    <row r="73" spans="1:11" hidden="1" x14ac:dyDescent="0.25">
      <c r="A73" s="774">
        <v>56111</v>
      </c>
      <c r="B73" s="774">
        <v>1000</v>
      </c>
      <c r="C73" s="774">
        <v>100</v>
      </c>
      <c r="D73" s="774">
        <v>2510</v>
      </c>
      <c r="E73" s="774" t="s">
        <v>1395</v>
      </c>
      <c r="F73" s="774" t="s">
        <v>1420</v>
      </c>
      <c r="G73" s="777">
        <v>8121.95</v>
      </c>
      <c r="H73" s="14" t="s">
        <v>871</v>
      </c>
      <c r="I73" s="14" t="s">
        <v>875</v>
      </c>
      <c r="J73" s="14" t="s">
        <v>908</v>
      </c>
      <c r="K73" s="14" t="s">
        <v>873</v>
      </c>
    </row>
    <row r="74" spans="1:11" hidden="1" x14ac:dyDescent="0.25">
      <c r="A74" s="774">
        <v>56111</v>
      </c>
      <c r="B74" s="774">
        <v>1000</v>
      </c>
      <c r="C74" s="774">
        <v>100</v>
      </c>
      <c r="D74" s="774">
        <v>2600</v>
      </c>
      <c r="E74" s="774" t="s">
        <v>1395</v>
      </c>
      <c r="F74" s="774" t="s">
        <v>1420</v>
      </c>
      <c r="G74" s="777">
        <v>22748.6</v>
      </c>
      <c r="H74" s="14" t="s">
        <v>871</v>
      </c>
      <c r="I74" s="14" t="s">
        <v>875</v>
      </c>
      <c r="J74" s="14" t="s">
        <v>912</v>
      </c>
      <c r="K74" s="14" t="s">
        <v>873</v>
      </c>
    </row>
    <row r="75" spans="1:11" hidden="1" x14ac:dyDescent="0.25">
      <c r="A75" s="774">
        <v>56111</v>
      </c>
      <c r="B75" s="774">
        <v>1000</v>
      </c>
      <c r="C75" s="774">
        <v>100</v>
      </c>
      <c r="D75" s="774">
        <v>2700</v>
      </c>
      <c r="E75" s="774" t="s">
        <v>1395</v>
      </c>
      <c r="F75" s="774" t="s">
        <v>1420</v>
      </c>
      <c r="G75" s="777">
        <v>6.78</v>
      </c>
      <c r="H75" s="14" t="s">
        <v>871</v>
      </c>
      <c r="I75" s="14" t="s">
        <v>895</v>
      </c>
      <c r="J75" s="14" t="s">
        <v>916</v>
      </c>
      <c r="K75" s="14" t="s">
        <v>873</v>
      </c>
    </row>
    <row r="76" spans="1:11" hidden="1" x14ac:dyDescent="0.25">
      <c r="A76" s="774">
        <v>56111</v>
      </c>
      <c r="B76" s="774">
        <v>1000</v>
      </c>
      <c r="C76" s="774">
        <v>100</v>
      </c>
      <c r="D76" s="774">
        <v>3100</v>
      </c>
      <c r="E76" s="774" t="s">
        <v>1395</v>
      </c>
      <c r="F76" s="774" t="s">
        <v>1420</v>
      </c>
      <c r="G76" s="777">
        <v>37.159999999999997</v>
      </c>
      <c r="H76" s="14" t="s">
        <v>871</v>
      </c>
      <c r="I76" s="14" t="s">
        <v>875</v>
      </c>
      <c r="J76" s="14" t="s">
        <v>924</v>
      </c>
      <c r="K76" s="14" t="s">
        <v>873</v>
      </c>
    </row>
    <row r="77" spans="1:11" hidden="1" x14ac:dyDescent="0.25">
      <c r="A77" s="774">
        <v>56111</v>
      </c>
      <c r="B77" s="774">
        <v>1000</v>
      </c>
      <c r="C77" s="774">
        <v>200</v>
      </c>
      <c r="D77" s="774">
        <v>2100</v>
      </c>
      <c r="E77" s="774" t="s">
        <v>1395</v>
      </c>
      <c r="F77" s="774" t="s">
        <v>1420</v>
      </c>
      <c r="G77" s="777">
        <v>42580.03</v>
      </c>
      <c r="H77" s="14" t="s">
        <v>871</v>
      </c>
      <c r="I77" s="14" t="s">
        <v>879</v>
      </c>
      <c r="J77" s="14" t="s">
        <v>884</v>
      </c>
      <c r="K77" s="14" t="s">
        <v>873</v>
      </c>
    </row>
    <row r="78" spans="1:11" hidden="1" x14ac:dyDescent="0.25">
      <c r="A78" s="774">
        <v>56111</v>
      </c>
      <c r="B78" s="774">
        <v>1000</v>
      </c>
      <c r="C78" s="774">
        <v>400</v>
      </c>
      <c r="D78" s="774">
        <v>2700</v>
      </c>
      <c r="E78" s="774" t="s">
        <v>1395</v>
      </c>
      <c r="F78" s="774" t="s">
        <v>1420</v>
      </c>
      <c r="G78" s="777">
        <v>478.93</v>
      </c>
      <c r="H78" s="14" t="s">
        <v>871</v>
      </c>
      <c r="I78" s="14" t="s">
        <v>895</v>
      </c>
      <c r="J78" s="14" t="s">
        <v>916</v>
      </c>
      <c r="K78" s="14" t="s">
        <v>873</v>
      </c>
    </row>
    <row r="79" spans="1:11" hidden="1" x14ac:dyDescent="0.25">
      <c r="A79" s="774">
        <v>56111</v>
      </c>
      <c r="B79" s="774">
        <v>1000</v>
      </c>
      <c r="C79" s="774">
        <v>615</v>
      </c>
      <c r="D79" s="774">
        <v>1000</v>
      </c>
      <c r="E79" s="774" t="s">
        <v>1395</v>
      </c>
      <c r="F79" s="774" t="s">
        <v>1420</v>
      </c>
      <c r="G79" s="777">
        <v>-177.52</v>
      </c>
      <c r="H79" s="14" t="s">
        <v>871</v>
      </c>
      <c r="I79" s="14" t="s">
        <v>919</v>
      </c>
      <c r="J79" s="14" t="s">
        <v>876</v>
      </c>
      <c r="K79" s="14" t="s">
        <v>873</v>
      </c>
    </row>
    <row r="80" spans="1:11" hidden="1" x14ac:dyDescent="0.25">
      <c r="A80" s="774">
        <v>56111</v>
      </c>
      <c r="B80" s="774">
        <v>1000</v>
      </c>
      <c r="C80" s="774">
        <v>920</v>
      </c>
      <c r="D80" s="774">
        <v>3300</v>
      </c>
      <c r="E80" s="774" t="s">
        <v>1395</v>
      </c>
      <c r="F80" s="774" t="s">
        <v>1420</v>
      </c>
      <c r="G80" s="777">
        <v>0</v>
      </c>
      <c r="H80" s="14" t="s">
        <v>871</v>
      </c>
      <c r="I80" s="14" t="s">
        <v>939</v>
      </c>
      <c r="J80" s="14" t="s">
        <v>928</v>
      </c>
      <c r="K80" s="14" t="s">
        <v>873</v>
      </c>
    </row>
    <row r="81" spans="1:11" hidden="1" x14ac:dyDescent="0.25">
      <c r="A81" s="774">
        <v>56111</v>
      </c>
      <c r="B81" s="774">
        <v>1012</v>
      </c>
      <c r="C81" s="774">
        <v>200</v>
      </c>
      <c r="D81" s="774">
        <v>2100</v>
      </c>
      <c r="E81" s="774" t="s">
        <v>1395</v>
      </c>
      <c r="F81" s="774" t="s">
        <v>1420</v>
      </c>
      <c r="G81" s="777">
        <v>14250</v>
      </c>
      <c r="H81" s="14" t="s">
        <v>872</v>
      </c>
      <c r="I81" s="14" t="s">
        <v>879</v>
      </c>
      <c r="J81" s="14" t="s">
        <v>884</v>
      </c>
      <c r="K81" s="14" t="s">
        <v>873</v>
      </c>
    </row>
    <row r="82" spans="1:11" hidden="1" x14ac:dyDescent="0.25">
      <c r="A82" s="774">
        <v>56111</v>
      </c>
      <c r="B82" s="774">
        <v>1012</v>
      </c>
      <c r="C82" s="774">
        <v>240</v>
      </c>
      <c r="D82" s="774">
        <v>1000</v>
      </c>
      <c r="E82" s="774" t="s">
        <v>1395</v>
      </c>
      <c r="F82" s="774" t="s">
        <v>1420</v>
      </c>
      <c r="G82" s="777">
        <v>2250</v>
      </c>
      <c r="H82" s="14" t="s">
        <v>872</v>
      </c>
      <c r="I82" s="14" t="s">
        <v>879</v>
      </c>
      <c r="J82" s="14" t="s">
        <v>876</v>
      </c>
      <c r="K82" s="14" t="s">
        <v>873</v>
      </c>
    </row>
    <row r="83" spans="1:11" x14ac:dyDescent="0.25">
      <c r="A83" s="774">
        <v>56111</v>
      </c>
      <c r="B83" s="774">
        <v>1220</v>
      </c>
      <c r="C83" s="774">
        <v>200</v>
      </c>
      <c r="D83" s="774">
        <v>2100</v>
      </c>
      <c r="E83" s="774" t="s">
        <v>1395</v>
      </c>
      <c r="F83" s="774" t="s">
        <v>1420</v>
      </c>
      <c r="G83" s="777">
        <v>37190.839999999997</v>
      </c>
      <c r="H83" s="14" t="s">
        <v>914</v>
      </c>
      <c r="I83" s="14" t="s">
        <v>879</v>
      </c>
      <c r="J83" s="14" t="s">
        <v>884</v>
      </c>
      <c r="K83" s="14" t="s">
        <v>873</v>
      </c>
    </row>
    <row r="84" spans="1:11" hidden="1" x14ac:dyDescent="0.25">
      <c r="A84" s="774">
        <v>56111</v>
      </c>
      <c r="B84" s="774">
        <v>1487</v>
      </c>
      <c r="C84" s="774">
        <v>100</v>
      </c>
      <c r="D84" s="774">
        <v>2100</v>
      </c>
      <c r="E84" s="774" t="s">
        <v>1395</v>
      </c>
      <c r="F84" s="774" t="s">
        <v>1420</v>
      </c>
      <c r="G84" s="777">
        <v>59871.88</v>
      </c>
      <c r="H84" s="14" t="s">
        <v>974</v>
      </c>
      <c r="I84" s="14" t="s">
        <v>875</v>
      </c>
      <c r="J84" s="14" t="s">
        <v>884</v>
      </c>
      <c r="K84" s="14" t="s">
        <v>873</v>
      </c>
    </row>
    <row r="85" spans="1:11" hidden="1" x14ac:dyDescent="0.25">
      <c r="A85" s="774">
        <v>56111</v>
      </c>
      <c r="B85" s="774">
        <v>1534</v>
      </c>
      <c r="C85" s="774">
        <v>400</v>
      </c>
      <c r="D85" s="774">
        <v>2700</v>
      </c>
      <c r="E85" s="774" t="s">
        <v>1395</v>
      </c>
      <c r="F85" s="774" t="s">
        <v>1420</v>
      </c>
      <c r="G85" s="777">
        <v>2275.0300000000002</v>
      </c>
      <c r="H85" s="14" t="s">
        <v>978</v>
      </c>
      <c r="I85" s="14" t="s">
        <v>895</v>
      </c>
      <c r="J85" s="14" t="s">
        <v>916</v>
      </c>
      <c r="K85" s="14" t="s">
        <v>873</v>
      </c>
    </row>
    <row r="86" spans="1:11" hidden="1" x14ac:dyDescent="0.25">
      <c r="A86" s="774">
        <v>56111</v>
      </c>
      <c r="B86" s="774">
        <v>1542</v>
      </c>
      <c r="C86" s="774">
        <v>100</v>
      </c>
      <c r="D86" s="774">
        <v>2100</v>
      </c>
      <c r="E86" s="774" t="s">
        <v>1395</v>
      </c>
      <c r="F86" s="774" t="s">
        <v>1420</v>
      </c>
      <c r="G86" s="777">
        <v>1672.17</v>
      </c>
      <c r="H86" s="14" t="s">
        <v>978</v>
      </c>
      <c r="I86" s="14" t="s">
        <v>875</v>
      </c>
      <c r="J86" s="14" t="s">
        <v>884</v>
      </c>
      <c r="K86" s="14" t="s">
        <v>873</v>
      </c>
    </row>
    <row r="87" spans="1:11" hidden="1" x14ac:dyDescent="0.25">
      <c r="A87" s="774">
        <v>56111</v>
      </c>
      <c r="B87" s="774">
        <v>1542</v>
      </c>
      <c r="C87" s="774">
        <v>100</v>
      </c>
      <c r="D87" s="774">
        <v>2500</v>
      </c>
      <c r="E87" s="774" t="s">
        <v>1395</v>
      </c>
      <c r="F87" s="774" t="s">
        <v>1420</v>
      </c>
      <c r="G87" s="777">
        <v>1469.45</v>
      </c>
      <c r="H87" s="14" t="s">
        <v>978</v>
      </c>
      <c r="I87" s="14" t="s">
        <v>875</v>
      </c>
      <c r="J87" s="14" t="s">
        <v>908</v>
      </c>
      <c r="K87" s="14" t="s">
        <v>873</v>
      </c>
    </row>
    <row r="88" spans="1:11" hidden="1" x14ac:dyDescent="0.25">
      <c r="A88" s="774">
        <v>56111</v>
      </c>
      <c r="B88" s="774">
        <v>1732</v>
      </c>
      <c r="C88" s="774">
        <v>620</v>
      </c>
      <c r="D88" s="774">
        <v>1000</v>
      </c>
      <c r="E88" s="774" t="s">
        <v>1395</v>
      </c>
      <c r="F88" s="774" t="s">
        <v>1420</v>
      </c>
      <c r="G88" s="777">
        <v>0.02</v>
      </c>
      <c r="H88" s="14" t="s">
        <v>978</v>
      </c>
      <c r="I88" s="14" t="s">
        <v>923</v>
      </c>
      <c r="J88" s="14" t="s">
        <v>876</v>
      </c>
      <c r="K88" s="14" t="s">
        <v>873</v>
      </c>
    </row>
    <row r="89" spans="1:11" hidden="1" x14ac:dyDescent="0.25">
      <c r="A89" s="774">
        <v>56111</v>
      </c>
      <c r="B89" s="774">
        <v>1743</v>
      </c>
      <c r="C89" s="774">
        <v>620</v>
      </c>
      <c r="D89" s="774">
        <v>1000</v>
      </c>
      <c r="E89" s="774" t="s">
        <v>1395</v>
      </c>
      <c r="F89" s="774" t="s">
        <v>1420</v>
      </c>
      <c r="G89" s="777">
        <v>0.01</v>
      </c>
      <c r="H89" s="14" t="s">
        <v>978</v>
      </c>
      <c r="I89" s="14" t="s">
        <v>923</v>
      </c>
      <c r="J89" s="14" t="s">
        <v>876</v>
      </c>
      <c r="K89" s="14" t="s">
        <v>873</v>
      </c>
    </row>
    <row r="90" spans="1:11" hidden="1" x14ac:dyDescent="0.25">
      <c r="A90" s="774">
        <v>56111</v>
      </c>
      <c r="B90" s="774">
        <v>1871</v>
      </c>
      <c r="C90" s="774">
        <v>920</v>
      </c>
      <c r="D90" s="774">
        <v>3300</v>
      </c>
      <c r="E90" s="774" t="s">
        <v>1395</v>
      </c>
      <c r="F90" s="774" t="s">
        <v>1420</v>
      </c>
      <c r="G90" s="777">
        <v>18459.34</v>
      </c>
      <c r="H90" s="14" t="s">
        <v>978</v>
      </c>
      <c r="I90" s="14" t="s">
        <v>939</v>
      </c>
      <c r="J90" s="14" t="s">
        <v>928</v>
      </c>
      <c r="K90" s="14" t="s">
        <v>873</v>
      </c>
    </row>
    <row r="91" spans="1:11" hidden="1" x14ac:dyDescent="0.25">
      <c r="A91" s="774">
        <v>56112</v>
      </c>
      <c r="B91" s="774">
        <v>1000</v>
      </c>
      <c r="C91" s="774">
        <v>100</v>
      </c>
      <c r="D91" s="774">
        <v>1000</v>
      </c>
      <c r="E91" s="774" t="s">
        <v>1395</v>
      </c>
      <c r="F91" s="774" t="s">
        <v>1421</v>
      </c>
      <c r="G91" s="777">
        <v>816288.45</v>
      </c>
      <c r="H91" s="14" t="s">
        <v>871</v>
      </c>
      <c r="I91" s="14" t="s">
        <v>875</v>
      </c>
      <c r="J91" s="14" t="s">
        <v>876</v>
      </c>
      <c r="K91" s="14" t="s">
        <v>873</v>
      </c>
    </row>
    <row r="92" spans="1:11" hidden="1" x14ac:dyDescent="0.25">
      <c r="A92" s="774">
        <v>56112</v>
      </c>
      <c r="B92" s="774">
        <v>1000</v>
      </c>
      <c r="C92" s="774">
        <v>100</v>
      </c>
      <c r="D92" s="774">
        <v>2100</v>
      </c>
      <c r="E92" s="774" t="s">
        <v>1395</v>
      </c>
      <c r="F92" s="774" t="s">
        <v>1421</v>
      </c>
      <c r="G92" s="777">
        <v>83.07</v>
      </c>
      <c r="H92" s="14" t="s">
        <v>871</v>
      </c>
      <c r="I92" s="14" t="s">
        <v>875</v>
      </c>
      <c r="J92" s="14" t="s">
        <v>884</v>
      </c>
      <c r="K92" s="14" t="s">
        <v>873</v>
      </c>
    </row>
    <row r="93" spans="1:11" hidden="1" x14ac:dyDescent="0.25">
      <c r="A93" s="774">
        <v>56112</v>
      </c>
      <c r="B93" s="774">
        <v>1000</v>
      </c>
      <c r="C93" s="774">
        <v>100</v>
      </c>
      <c r="D93" s="774">
        <v>2500</v>
      </c>
      <c r="E93" s="774" t="s">
        <v>1395</v>
      </c>
      <c r="F93" s="774" t="s">
        <v>1421</v>
      </c>
      <c r="G93" s="777">
        <v>2875.14</v>
      </c>
      <c r="H93" s="14" t="s">
        <v>871</v>
      </c>
      <c r="I93" s="14" t="s">
        <v>875</v>
      </c>
      <c r="J93" s="14" t="s">
        <v>908</v>
      </c>
      <c r="K93" s="14" t="s">
        <v>873</v>
      </c>
    </row>
    <row r="94" spans="1:11" hidden="1" x14ac:dyDescent="0.25">
      <c r="A94" s="774">
        <v>56112</v>
      </c>
      <c r="B94" s="774">
        <v>1000</v>
      </c>
      <c r="C94" s="774">
        <v>200</v>
      </c>
      <c r="D94" s="774">
        <v>1000</v>
      </c>
      <c r="E94" s="774" t="s">
        <v>1395</v>
      </c>
      <c r="F94" s="774" t="s">
        <v>1421</v>
      </c>
      <c r="G94" s="777">
        <v>164710.57</v>
      </c>
      <c r="H94" s="14" t="s">
        <v>871</v>
      </c>
      <c r="I94" s="14" t="s">
        <v>879</v>
      </c>
      <c r="J94" s="14" t="s">
        <v>876</v>
      </c>
      <c r="K94" s="14" t="s">
        <v>873</v>
      </c>
    </row>
    <row r="95" spans="1:11" hidden="1" x14ac:dyDescent="0.25">
      <c r="A95" s="774">
        <v>56112</v>
      </c>
      <c r="B95" s="774">
        <v>1000</v>
      </c>
      <c r="C95" s="774">
        <v>240</v>
      </c>
      <c r="D95" s="774">
        <v>1000</v>
      </c>
      <c r="E95" s="774" t="s">
        <v>1395</v>
      </c>
      <c r="F95" s="774" t="s">
        <v>1421</v>
      </c>
      <c r="G95" s="777">
        <v>33593.620000000003</v>
      </c>
      <c r="H95" s="14" t="s">
        <v>871</v>
      </c>
      <c r="I95" s="14" t="s">
        <v>879</v>
      </c>
      <c r="J95" s="14" t="s">
        <v>876</v>
      </c>
      <c r="K95" s="14" t="s">
        <v>873</v>
      </c>
    </row>
    <row r="96" spans="1:11" hidden="1" x14ac:dyDescent="0.25">
      <c r="A96" s="774">
        <v>56112</v>
      </c>
      <c r="B96" s="774">
        <v>1012</v>
      </c>
      <c r="C96" s="774">
        <v>100</v>
      </c>
      <c r="D96" s="774">
        <v>1000</v>
      </c>
      <c r="E96" s="774" t="s">
        <v>1395</v>
      </c>
      <c r="F96" s="774" t="s">
        <v>1421</v>
      </c>
      <c r="G96" s="777">
        <v>234498.04</v>
      </c>
      <c r="H96" s="14" t="s">
        <v>872</v>
      </c>
      <c r="I96" s="14" t="s">
        <v>875</v>
      </c>
      <c r="J96" s="14" t="s">
        <v>876</v>
      </c>
      <c r="K96" s="14" t="s">
        <v>873</v>
      </c>
    </row>
    <row r="97" spans="1:11" hidden="1" x14ac:dyDescent="0.25">
      <c r="A97" s="774">
        <v>56113</v>
      </c>
      <c r="B97" s="774">
        <v>1000</v>
      </c>
      <c r="C97" s="774">
        <v>100</v>
      </c>
      <c r="D97" s="774">
        <v>1000</v>
      </c>
      <c r="E97" s="774" t="s">
        <v>1395</v>
      </c>
      <c r="F97" s="774" t="s">
        <v>1422</v>
      </c>
      <c r="G97" s="777">
        <v>485.28</v>
      </c>
      <c r="H97" s="14" t="s">
        <v>871</v>
      </c>
      <c r="I97" s="14" t="s">
        <v>875</v>
      </c>
      <c r="J97" s="14" t="s">
        <v>876</v>
      </c>
      <c r="K97" s="14" t="s">
        <v>873</v>
      </c>
    </row>
    <row r="98" spans="1:11" hidden="1" x14ac:dyDescent="0.25">
      <c r="A98" s="774">
        <v>56114</v>
      </c>
      <c r="B98" s="774">
        <v>1000</v>
      </c>
      <c r="C98" s="774">
        <v>100</v>
      </c>
      <c r="D98" s="774">
        <v>1000</v>
      </c>
      <c r="E98" s="774" t="s">
        <v>1395</v>
      </c>
      <c r="F98" s="774" t="s">
        <v>1423</v>
      </c>
      <c r="G98" s="777">
        <v>46523.06</v>
      </c>
      <c r="H98" s="14" t="s">
        <v>871</v>
      </c>
      <c r="I98" s="14" t="s">
        <v>875</v>
      </c>
      <c r="J98" s="14" t="s">
        <v>876</v>
      </c>
      <c r="K98" s="14" t="s">
        <v>873</v>
      </c>
    </row>
    <row r="99" spans="1:11" hidden="1" x14ac:dyDescent="0.25">
      <c r="A99" s="774">
        <v>56114</v>
      </c>
      <c r="B99" s="774">
        <v>1000</v>
      </c>
      <c r="C99" s="774">
        <v>100</v>
      </c>
      <c r="D99" s="774">
        <v>2400</v>
      </c>
      <c r="E99" s="774" t="s">
        <v>1395</v>
      </c>
      <c r="F99" s="774" t="s">
        <v>1423</v>
      </c>
      <c r="G99" s="777">
        <v>313.22000000000003</v>
      </c>
      <c r="H99" s="14" t="s">
        <v>871</v>
      </c>
      <c r="I99" s="14" t="s">
        <v>875</v>
      </c>
      <c r="J99" s="14" t="s">
        <v>904</v>
      </c>
      <c r="K99" s="14" t="s">
        <v>873</v>
      </c>
    </row>
    <row r="100" spans="1:11" hidden="1" x14ac:dyDescent="0.25">
      <c r="A100" s="774">
        <v>56114</v>
      </c>
      <c r="B100" s="774">
        <v>1000</v>
      </c>
      <c r="C100" s="774">
        <v>100</v>
      </c>
      <c r="D100" s="774">
        <v>2500</v>
      </c>
      <c r="E100" s="774" t="s">
        <v>1395</v>
      </c>
      <c r="F100" s="774" t="s">
        <v>1423</v>
      </c>
      <c r="G100" s="777">
        <v>80.44</v>
      </c>
      <c r="H100" s="14" t="s">
        <v>871</v>
      </c>
      <c r="I100" s="14" t="s">
        <v>875</v>
      </c>
      <c r="J100" s="14" t="s">
        <v>908</v>
      </c>
      <c r="K100" s="14" t="s">
        <v>873</v>
      </c>
    </row>
    <row r="101" spans="1:11" hidden="1" x14ac:dyDescent="0.25">
      <c r="A101" s="774">
        <v>56114</v>
      </c>
      <c r="B101" s="774">
        <v>1000</v>
      </c>
      <c r="C101" s="774">
        <v>200</v>
      </c>
      <c r="D101" s="774">
        <v>1000</v>
      </c>
      <c r="E101" s="774" t="s">
        <v>1395</v>
      </c>
      <c r="F101" s="774" t="s">
        <v>1423</v>
      </c>
      <c r="G101" s="777">
        <v>57408.91</v>
      </c>
      <c r="H101" s="14" t="s">
        <v>871</v>
      </c>
      <c r="I101" s="14" t="s">
        <v>879</v>
      </c>
      <c r="J101" s="14" t="s">
        <v>876</v>
      </c>
      <c r="K101" s="14" t="s">
        <v>873</v>
      </c>
    </row>
    <row r="102" spans="1:11" hidden="1" x14ac:dyDescent="0.25">
      <c r="A102" s="774">
        <v>56114</v>
      </c>
      <c r="B102" s="774">
        <v>1871</v>
      </c>
      <c r="C102" s="774">
        <v>920</v>
      </c>
      <c r="D102" s="774">
        <v>3300</v>
      </c>
      <c r="E102" s="774" t="s">
        <v>1395</v>
      </c>
      <c r="F102" s="774" t="s">
        <v>1423</v>
      </c>
      <c r="G102" s="777">
        <v>1611.01</v>
      </c>
      <c r="H102" s="14" t="s">
        <v>978</v>
      </c>
      <c r="I102" s="14" t="s">
        <v>939</v>
      </c>
      <c r="J102" s="14" t="s">
        <v>928</v>
      </c>
      <c r="K102" s="14" t="s">
        <v>873</v>
      </c>
    </row>
    <row r="103" spans="1:11" hidden="1" x14ac:dyDescent="0.25">
      <c r="A103" s="774">
        <v>56116</v>
      </c>
      <c r="B103" s="774">
        <v>1000</v>
      </c>
      <c r="C103" s="774">
        <v>200</v>
      </c>
      <c r="D103" s="774">
        <v>2100</v>
      </c>
      <c r="E103" s="774" t="s">
        <v>1395</v>
      </c>
      <c r="F103" s="774" t="s">
        <v>1424</v>
      </c>
      <c r="G103" s="777">
        <v>25200</v>
      </c>
      <c r="H103" s="14" t="s">
        <v>871</v>
      </c>
      <c r="I103" s="14" t="s">
        <v>879</v>
      </c>
      <c r="J103" s="14" t="s">
        <v>884</v>
      </c>
      <c r="K103" s="14" t="s">
        <v>873</v>
      </c>
    </row>
    <row r="104" spans="1:11" hidden="1" x14ac:dyDescent="0.25">
      <c r="A104" s="774">
        <v>56121</v>
      </c>
      <c r="B104" s="774">
        <v>1000</v>
      </c>
      <c r="C104" s="774">
        <v>100</v>
      </c>
      <c r="D104" s="774">
        <v>2100</v>
      </c>
      <c r="E104" s="774" t="s">
        <v>1395</v>
      </c>
      <c r="F104" s="774" t="s">
        <v>1425</v>
      </c>
      <c r="G104" s="777">
        <v>137.9</v>
      </c>
      <c r="H104" s="14" t="s">
        <v>871</v>
      </c>
      <c r="I104" s="14" t="s">
        <v>875</v>
      </c>
      <c r="J104" s="14" t="s">
        <v>884</v>
      </c>
      <c r="K104" s="14" t="s">
        <v>873</v>
      </c>
    </row>
    <row r="105" spans="1:11" hidden="1" x14ac:dyDescent="0.25">
      <c r="A105" s="774">
        <v>56121</v>
      </c>
      <c r="B105" s="774">
        <v>1000</v>
      </c>
      <c r="C105" s="774">
        <v>100</v>
      </c>
      <c r="D105" s="774">
        <v>2110</v>
      </c>
      <c r="E105" s="774" t="s">
        <v>1395</v>
      </c>
      <c r="F105" s="774" t="s">
        <v>1425</v>
      </c>
      <c r="G105" s="777">
        <v>102.59</v>
      </c>
      <c r="H105" s="14" t="s">
        <v>871</v>
      </c>
      <c r="I105" s="14" t="s">
        <v>875</v>
      </c>
      <c r="J105" s="14" t="s">
        <v>884</v>
      </c>
      <c r="K105" s="14" t="s">
        <v>873</v>
      </c>
    </row>
    <row r="106" spans="1:11" hidden="1" x14ac:dyDescent="0.25">
      <c r="A106" s="774">
        <v>56121</v>
      </c>
      <c r="B106" s="774">
        <v>1000</v>
      </c>
      <c r="C106" s="774">
        <v>100</v>
      </c>
      <c r="D106" s="774">
        <v>2200</v>
      </c>
      <c r="E106" s="774" t="s">
        <v>1395</v>
      </c>
      <c r="F106" s="774" t="s">
        <v>1425</v>
      </c>
      <c r="G106" s="777">
        <v>307.77999999999997</v>
      </c>
      <c r="H106" s="14" t="s">
        <v>871</v>
      </c>
      <c r="I106" s="14" t="s">
        <v>875</v>
      </c>
      <c r="J106" s="14" t="s">
        <v>888</v>
      </c>
      <c r="K106" s="14" t="s">
        <v>873</v>
      </c>
    </row>
    <row r="107" spans="1:11" hidden="1" x14ac:dyDescent="0.25">
      <c r="A107" s="774">
        <v>56121</v>
      </c>
      <c r="B107" s="774">
        <v>1000</v>
      </c>
      <c r="C107" s="774">
        <v>100</v>
      </c>
      <c r="D107" s="774">
        <v>2500</v>
      </c>
      <c r="E107" s="774" t="s">
        <v>1395</v>
      </c>
      <c r="F107" s="774" t="s">
        <v>1425</v>
      </c>
      <c r="G107" s="777">
        <v>137.9</v>
      </c>
      <c r="H107" s="14" t="s">
        <v>871</v>
      </c>
      <c r="I107" s="14" t="s">
        <v>875</v>
      </c>
      <c r="J107" s="14" t="s">
        <v>908</v>
      </c>
      <c r="K107" s="14" t="s">
        <v>873</v>
      </c>
    </row>
    <row r="108" spans="1:11" hidden="1" x14ac:dyDescent="0.25">
      <c r="A108" s="774">
        <v>56121</v>
      </c>
      <c r="B108" s="774">
        <v>1732</v>
      </c>
      <c r="C108" s="774">
        <v>620</v>
      </c>
      <c r="D108" s="774">
        <v>1000</v>
      </c>
      <c r="E108" s="774" t="s">
        <v>1395</v>
      </c>
      <c r="F108" s="774" t="s">
        <v>1425</v>
      </c>
      <c r="G108" s="777">
        <v>1800</v>
      </c>
      <c r="H108" s="14" t="s">
        <v>978</v>
      </c>
      <c r="I108" s="14" t="s">
        <v>923</v>
      </c>
      <c r="J108" s="14" t="s">
        <v>876</v>
      </c>
      <c r="K108" s="14" t="s">
        <v>873</v>
      </c>
    </row>
    <row r="109" spans="1:11" hidden="1" x14ac:dyDescent="0.25">
      <c r="A109" s="774">
        <v>56121</v>
      </c>
      <c r="B109" s="774">
        <v>1737</v>
      </c>
      <c r="C109" s="774">
        <v>620</v>
      </c>
      <c r="D109" s="774">
        <v>1000</v>
      </c>
      <c r="E109" s="774" t="s">
        <v>1395</v>
      </c>
      <c r="F109" s="774" t="s">
        <v>1425</v>
      </c>
      <c r="G109" s="777">
        <v>1800</v>
      </c>
      <c r="H109" s="14" t="s">
        <v>978</v>
      </c>
      <c r="I109" s="14" t="s">
        <v>923</v>
      </c>
      <c r="J109" s="14" t="s">
        <v>876</v>
      </c>
      <c r="K109" s="14" t="s">
        <v>873</v>
      </c>
    </row>
    <row r="110" spans="1:11" hidden="1" x14ac:dyDescent="0.25">
      <c r="A110" s="774">
        <v>56121</v>
      </c>
      <c r="B110" s="774">
        <v>1745</v>
      </c>
      <c r="C110" s="774">
        <v>620</v>
      </c>
      <c r="D110" s="774">
        <v>1000</v>
      </c>
      <c r="E110" s="774" t="s">
        <v>1395</v>
      </c>
      <c r="F110" s="774" t="s">
        <v>1425</v>
      </c>
      <c r="G110" s="777">
        <v>1800</v>
      </c>
      <c r="H110" s="14" t="s">
        <v>978</v>
      </c>
      <c r="I110" s="14" t="s">
        <v>923</v>
      </c>
      <c r="J110" s="14" t="s">
        <v>876</v>
      </c>
      <c r="K110" s="14" t="s">
        <v>873</v>
      </c>
    </row>
    <row r="111" spans="1:11" hidden="1" x14ac:dyDescent="0.25">
      <c r="A111" s="774">
        <v>56121</v>
      </c>
      <c r="B111" s="774">
        <v>1767</v>
      </c>
      <c r="C111" s="774">
        <v>620</v>
      </c>
      <c r="D111" s="774">
        <v>1000</v>
      </c>
      <c r="E111" s="774" t="s">
        <v>1395</v>
      </c>
      <c r="F111" s="774" t="s">
        <v>1425</v>
      </c>
      <c r="G111" s="777">
        <v>1342.03</v>
      </c>
      <c r="H111" s="14" t="s">
        <v>978</v>
      </c>
      <c r="I111" s="14" t="s">
        <v>923</v>
      </c>
      <c r="J111" s="14" t="s">
        <v>876</v>
      </c>
      <c r="K111" s="14" t="s">
        <v>873</v>
      </c>
    </row>
    <row r="112" spans="1:11" hidden="1" x14ac:dyDescent="0.25">
      <c r="A112" s="774">
        <v>56121</v>
      </c>
      <c r="B112" s="774" t="s">
        <v>1405</v>
      </c>
      <c r="C112" s="774">
        <v>620</v>
      </c>
      <c r="D112" s="774">
        <v>1000</v>
      </c>
      <c r="E112" s="774" t="s">
        <v>1395</v>
      </c>
      <c r="F112" s="774" t="s">
        <v>1425</v>
      </c>
      <c r="G112" s="777">
        <v>457.97</v>
      </c>
      <c r="H112" s="14" t="s">
        <v>978</v>
      </c>
      <c r="I112" s="14" t="s">
        <v>923</v>
      </c>
      <c r="J112" s="14" t="s">
        <v>876</v>
      </c>
      <c r="K112" s="14" t="s">
        <v>873</v>
      </c>
    </row>
    <row r="113" spans="1:11" hidden="1" x14ac:dyDescent="0.25">
      <c r="A113" s="774">
        <v>56122</v>
      </c>
      <c r="B113" s="774">
        <v>1000</v>
      </c>
      <c r="C113" s="774">
        <v>100</v>
      </c>
      <c r="D113" s="774">
        <v>1000</v>
      </c>
      <c r="E113" s="774" t="s">
        <v>1395</v>
      </c>
      <c r="F113" s="774" t="s">
        <v>1426</v>
      </c>
      <c r="G113" s="777">
        <v>14730</v>
      </c>
      <c r="H113" s="14" t="s">
        <v>871</v>
      </c>
      <c r="I113" s="14" t="s">
        <v>875</v>
      </c>
      <c r="J113" s="14" t="s">
        <v>876</v>
      </c>
      <c r="K113" s="14" t="s">
        <v>873</v>
      </c>
    </row>
    <row r="114" spans="1:11" hidden="1" x14ac:dyDescent="0.25">
      <c r="A114" s="774">
        <v>56122</v>
      </c>
      <c r="B114" s="774">
        <v>1000</v>
      </c>
      <c r="C114" s="774">
        <v>100</v>
      </c>
      <c r="D114" s="774">
        <v>2100</v>
      </c>
      <c r="E114" s="774" t="s">
        <v>1395</v>
      </c>
      <c r="F114" s="774" t="s">
        <v>1426</v>
      </c>
      <c r="G114" s="777">
        <v>60.33</v>
      </c>
      <c r="H114" s="14" t="s">
        <v>871</v>
      </c>
      <c r="I114" s="14" t="s">
        <v>875</v>
      </c>
      <c r="J114" s="14" t="s">
        <v>884</v>
      </c>
      <c r="K114" s="14" t="s">
        <v>873</v>
      </c>
    </row>
    <row r="115" spans="1:11" hidden="1" x14ac:dyDescent="0.25">
      <c r="A115" s="774">
        <v>56122</v>
      </c>
      <c r="B115" s="774">
        <v>1000</v>
      </c>
      <c r="C115" s="774">
        <v>100</v>
      </c>
      <c r="D115" s="774">
        <v>2500</v>
      </c>
      <c r="E115" s="774" t="s">
        <v>1395</v>
      </c>
      <c r="F115" s="774" t="s">
        <v>1426</v>
      </c>
      <c r="G115" s="777">
        <v>29.04</v>
      </c>
      <c r="H115" s="14" t="s">
        <v>871</v>
      </c>
      <c r="I115" s="14" t="s">
        <v>875</v>
      </c>
      <c r="J115" s="14" t="s">
        <v>908</v>
      </c>
      <c r="K115" s="14" t="s">
        <v>873</v>
      </c>
    </row>
    <row r="116" spans="1:11" hidden="1" x14ac:dyDescent="0.25">
      <c r="A116" s="774">
        <v>56122</v>
      </c>
      <c r="B116" s="774">
        <v>1000</v>
      </c>
      <c r="C116" s="774">
        <v>620</v>
      </c>
      <c r="D116" s="774">
        <v>2100</v>
      </c>
      <c r="E116" s="774" t="s">
        <v>1395</v>
      </c>
      <c r="F116" s="774" t="s">
        <v>1426</v>
      </c>
      <c r="G116" s="777">
        <v>990</v>
      </c>
      <c r="H116" s="14" t="s">
        <v>871</v>
      </c>
      <c r="I116" s="14" t="s">
        <v>923</v>
      </c>
      <c r="J116" s="14" t="s">
        <v>884</v>
      </c>
      <c r="K116" s="14" t="s">
        <v>873</v>
      </c>
    </row>
    <row r="117" spans="1:11" hidden="1" x14ac:dyDescent="0.25">
      <c r="A117" s="774">
        <v>56122</v>
      </c>
      <c r="B117" s="774">
        <v>1737</v>
      </c>
      <c r="C117" s="774">
        <v>620</v>
      </c>
      <c r="D117" s="774">
        <v>1000</v>
      </c>
      <c r="E117" s="774" t="s">
        <v>1395</v>
      </c>
      <c r="F117" s="774" t="s">
        <v>1426</v>
      </c>
      <c r="G117" s="777">
        <v>1800</v>
      </c>
      <c r="H117" s="14" t="s">
        <v>978</v>
      </c>
      <c r="I117" s="14" t="s">
        <v>923</v>
      </c>
      <c r="J117" s="14" t="s">
        <v>876</v>
      </c>
      <c r="K117" s="14" t="s">
        <v>873</v>
      </c>
    </row>
    <row r="118" spans="1:11" hidden="1" x14ac:dyDescent="0.25">
      <c r="A118" s="774">
        <v>56122</v>
      </c>
      <c r="B118" s="774">
        <v>1743</v>
      </c>
      <c r="C118" s="774">
        <v>620</v>
      </c>
      <c r="D118" s="774">
        <v>1000</v>
      </c>
      <c r="E118" s="774" t="s">
        <v>1395</v>
      </c>
      <c r="F118" s="774" t="s">
        <v>1426</v>
      </c>
      <c r="G118" s="777">
        <v>1000</v>
      </c>
      <c r="H118" s="14" t="s">
        <v>978</v>
      </c>
      <c r="I118" s="14" t="s">
        <v>923</v>
      </c>
      <c r="J118" s="14" t="s">
        <v>876</v>
      </c>
      <c r="K118" s="14" t="s">
        <v>873</v>
      </c>
    </row>
    <row r="119" spans="1:11" hidden="1" x14ac:dyDescent="0.25">
      <c r="A119" s="774">
        <v>56122</v>
      </c>
      <c r="B119" s="774">
        <v>1751</v>
      </c>
      <c r="C119" s="774">
        <v>620</v>
      </c>
      <c r="D119" s="774">
        <v>1000</v>
      </c>
      <c r="E119" s="774" t="s">
        <v>1395</v>
      </c>
      <c r="F119" s="774" t="s">
        <v>1426</v>
      </c>
      <c r="G119" s="777">
        <v>900</v>
      </c>
      <c r="H119" s="14" t="s">
        <v>978</v>
      </c>
      <c r="I119" s="14" t="s">
        <v>923</v>
      </c>
      <c r="J119" s="14" t="s">
        <v>876</v>
      </c>
      <c r="K119" s="14" t="s">
        <v>873</v>
      </c>
    </row>
    <row r="120" spans="1:11" hidden="1" x14ac:dyDescent="0.25">
      <c r="A120" s="774">
        <v>56122</v>
      </c>
      <c r="B120" s="774">
        <v>1767</v>
      </c>
      <c r="C120" s="774">
        <v>620</v>
      </c>
      <c r="D120" s="774">
        <v>1000</v>
      </c>
      <c r="E120" s="774" t="s">
        <v>1395</v>
      </c>
      <c r="F120" s="774" t="s">
        <v>1426</v>
      </c>
      <c r="G120" s="777">
        <v>1800</v>
      </c>
      <c r="H120" s="14" t="s">
        <v>978</v>
      </c>
      <c r="I120" s="14" t="s">
        <v>923</v>
      </c>
      <c r="J120" s="14" t="s">
        <v>876</v>
      </c>
      <c r="K120" s="14" t="s">
        <v>873</v>
      </c>
    </row>
    <row r="121" spans="1:11" hidden="1" x14ac:dyDescent="0.25">
      <c r="A121" s="774">
        <v>56122</v>
      </c>
      <c r="B121" s="774">
        <v>1805</v>
      </c>
      <c r="C121" s="774">
        <v>615</v>
      </c>
      <c r="D121" s="774">
        <v>1000</v>
      </c>
      <c r="E121" s="774" t="s">
        <v>1395</v>
      </c>
      <c r="F121" s="774" t="s">
        <v>1426</v>
      </c>
      <c r="G121" s="777">
        <v>1260</v>
      </c>
      <c r="H121" s="14" t="s">
        <v>978</v>
      </c>
      <c r="I121" s="14" t="s">
        <v>919</v>
      </c>
      <c r="J121" s="14" t="s">
        <v>876</v>
      </c>
      <c r="K121" s="14" t="s">
        <v>873</v>
      </c>
    </row>
    <row r="122" spans="1:11" hidden="1" x14ac:dyDescent="0.25">
      <c r="A122" s="774">
        <v>56122</v>
      </c>
      <c r="B122" s="774">
        <v>1858</v>
      </c>
      <c r="C122" s="774">
        <v>615</v>
      </c>
      <c r="D122" s="774">
        <v>1000</v>
      </c>
      <c r="E122" s="774" t="s">
        <v>1395</v>
      </c>
      <c r="F122" s="774" t="s">
        <v>1426</v>
      </c>
      <c r="G122" s="777">
        <v>1066.3</v>
      </c>
      <c r="H122" s="14" t="s">
        <v>978</v>
      </c>
      <c r="I122" s="14" t="s">
        <v>919</v>
      </c>
      <c r="J122" s="14" t="s">
        <v>876</v>
      </c>
      <c r="K122" s="14" t="s">
        <v>873</v>
      </c>
    </row>
    <row r="123" spans="1:11" hidden="1" x14ac:dyDescent="0.25">
      <c r="A123" s="774">
        <v>56122</v>
      </c>
      <c r="B123" s="774">
        <v>1910</v>
      </c>
      <c r="C123" s="774">
        <v>615</v>
      </c>
      <c r="D123" s="774">
        <v>1000</v>
      </c>
      <c r="E123" s="774" t="s">
        <v>1395</v>
      </c>
      <c r="F123" s="774" t="s">
        <v>1426</v>
      </c>
      <c r="G123" s="777">
        <v>630</v>
      </c>
      <c r="H123" s="14" t="s">
        <v>978</v>
      </c>
      <c r="I123" s="14" t="s">
        <v>919</v>
      </c>
      <c r="J123" s="14" t="s">
        <v>876</v>
      </c>
      <c r="K123" s="14" t="s">
        <v>873</v>
      </c>
    </row>
    <row r="124" spans="1:11" hidden="1" x14ac:dyDescent="0.25">
      <c r="A124" s="774">
        <v>56122</v>
      </c>
      <c r="B124" s="774" t="s">
        <v>1406</v>
      </c>
      <c r="C124" s="774">
        <v>615</v>
      </c>
      <c r="D124" s="774">
        <v>1000</v>
      </c>
      <c r="E124" s="774" t="s">
        <v>1395</v>
      </c>
      <c r="F124" s="774" t="s">
        <v>1426</v>
      </c>
      <c r="G124" s="777">
        <v>200</v>
      </c>
      <c r="H124" s="14" t="s">
        <v>978</v>
      </c>
      <c r="I124" s="14" t="s">
        <v>919</v>
      </c>
      <c r="J124" s="14" t="s">
        <v>876</v>
      </c>
      <c r="K124" s="14" t="s">
        <v>873</v>
      </c>
    </row>
    <row r="125" spans="1:11" hidden="1" x14ac:dyDescent="0.25">
      <c r="A125" s="774">
        <v>56123</v>
      </c>
      <c r="B125" s="774">
        <v>1000</v>
      </c>
      <c r="C125" s="774">
        <v>100</v>
      </c>
      <c r="D125" s="774">
        <v>1000</v>
      </c>
      <c r="E125" s="774" t="s">
        <v>1395</v>
      </c>
      <c r="F125" s="774" t="s">
        <v>1427</v>
      </c>
      <c r="G125" s="777">
        <v>856.25</v>
      </c>
      <c r="H125" s="14" t="s">
        <v>871</v>
      </c>
      <c r="I125" s="14" t="s">
        <v>875</v>
      </c>
      <c r="J125" s="14" t="s">
        <v>876</v>
      </c>
      <c r="K125" s="14" t="s">
        <v>873</v>
      </c>
    </row>
    <row r="126" spans="1:11" hidden="1" x14ac:dyDescent="0.25">
      <c r="A126" s="774">
        <v>56124</v>
      </c>
      <c r="B126" s="774">
        <v>1000</v>
      </c>
      <c r="C126" s="774">
        <v>100</v>
      </c>
      <c r="D126" s="774">
        <v>1000</v>
      </c>
      <c r="E126" s="774" t="s">
        <v>1395</v>
      </c>
      <c r="F126" s="774" t="s">
        <v>1428</v>
      </c>
      <c r="G126" s="777">
        <v>0</v>
      </c>
      <c r="H126" s="14" t="s">
        <v>871</v>
      </c>
      <c r="I126" s="14" t="s">
        <v>875</v>
      </c>
      <c r="J126" s="14" t="s">
        <v>876</v>
      </c>
      <c r="K126" s="14" t="s">
        <v>873</v>
      </c>
    </row>
    <row r="127" spans="1:11" hidden="1" x14ac:dyDescent="0.25">
      <c r="A127" s="774">
        <v>56152</v>
      </c>
      <c r="B127" s="774">
        <v>1000</v>
      </c>
      <c r="C127" s="774">
        <v>100</v>
      </c>
      <c r="D127" s="774">
        <v>1000</v>
      </c>
      <c r="E127" s="774" t="s">
        <v>1395</v>
      </c>
      <c r="F127" s="774" t="s">
        <v>1429</v>
      </c>
      <c r="G127" s="777">
        <v>82359.11</v>
      </c>
      <c r="H127" s="14" t="s">
        <v>871</v>
      </c>
      <c r="I127" s="14" t="s">
        <v>875</v>
      </c>
      <c r="J127" s="14" t="s">
        <v>876</v>
      </c>
      <c r="K127" s="14" t="s">
        <v>873</v>
      </c>
    </row>
    <row r="128" spans="1:11" hidden="1" x14ac:dyDescent="0.25">
      <c r="A128" s="774">
        <v>56210</v>
      </c>
      <c r="B128" s="774">
        <v>1000</v>
      </c>
      <c r="C128" s="774">
        <v>100</v>
      </c>
      <c r="D128" s="774">
        <v>1000</v>
      </c>
      <c r="E128" s="774" t="s">
        <v>1395</v>
      </c>
      <c r="F128" s="774" t="s">
        <v>1430</v>
      </c>
      <c r="G128" s="777">
        <v>117159.38</v>
      </c>
      <c r="H128" s="14" t="s">
        <v>871</v>
      </c>
      <c r="I128" s="14" t="s">
        <v>875</v>
      </c>
      <c r="J128" s="14" t="s">
        <v>876</v>
      </c>
      <c r="K128" s="14" t="s">
        <v>877</v>
      </c>
    </row>
    <row r="129" spans="1:11" hidden="1" x14ac:dyDescent="0.25">
      <c r="A129" s="774">
        <v>56210</v>
      </c>
      <c r="B129" s="774">
        <v>1000</v>
      </c>
      <c r="C129" s="774">
        <v>100</v>
      </c>
      <c r="D129" s="774">
        <v>2100</v>
      </c>
      <c r="E129" s="774" t="s">
        <v>1395</v>
      </c>
      <c r="F129" s="774" t="s">
        <v>1430</v>
      </c>
      <c r="G129" s="777">
        <v>18503.63</v>
      </c>
      <c r="H129" s="14" t="s">
        <v>871</v>
      </c>
      <c r="I129" s="14" t="s">
        <v>875</v>
      </c>
      <c r="J129" s="14" t="s">
        <v>884</v>
      </c>
      <c r="K129" s="14" t="s">
        <v>877</v>
      </c>
    </row>
    <row r="130" spans="1:11" hidden="1" x14ac:dyDescent="0.25">
      <c r="A130" s="774">
        <v>56210</v>
      </c>
      <c r="B130" s="774">
        <v>1000</v>
      </c>
      <c r="C130" s="774">
        <v>100</v>
      </c>
      <c r="D130" s="774">
        <v>2110</v>
      </c>
      <c r="E130" s="774" t="s">
        <v>1395</v>
      </c>
      <c r="F130" s="774" t="s">
        <v>1430</v>
      </c>
      <c r="G130" s="777">
        <v>396.27</v>
      </c>
      <c r="H130" s="14" t="s">
        <v>871</v>
      </c>
      <c r="I130" s="14" t="s">
        <v>875</v>
      </c>
      <c r="J130" s="14" t="s">
        <v>884</v>
      </c>
      <c r="K130" s="14" t="s">
        <v>877</v>
      </c>
    </row>
    <row r="131" spans="1:11" hidden="1" x14ac:dyDescent="0.25">
      <c r="A131" s="774">
        <v>56210</v>
      </c>
      <c r="B131" s="774">
        <v>1000</v>
      </c>
      <c r="C131" s="774">
        <v>100</v>
      </c>
      <c r="D131" s="774">
        <v>2200</v>
      </c>
      <c r="E131" s="774" t="s">
        <v>1395</v>
      </c>
      <c r="F131" s="774" t="s">
        <v>1430</v>
      </c>
      <c r="G131" s="777">
        <v>3413.64</v>
      </c>
      <c r="H131" s="14" t="s">
        <v>871</v>
      </c>
      <c r="I131" s="14" t="s">
        <v>875</v>
      </c>
      <c r="J131" s="14" t="s">
        <v>888</v>
      </c>
      <c r="K131" s="14" t="s">
        <v>877</v>
      </c>
    </row>
    <row r="132" spans="1:11" hidden="1" x14ac:dyDescent="0.25">
      <c r="A132" s="774">
        <v>56210</v>
      </c>
      <c r="B132" s="774">
        <v>1000</v>
      </c>
      <c r="C132" s="774">
        <v>100</v>
      </c>
      <c r="D132" s="774">
        <v>2300</v>
      </c>
      <c r="E132" s="774" t="s">
        <v>1395</v>
      </c>
      <c r="F132" s="774" t="s">
        <v>1430</v>
      </c>
      <c r="G132" s="777">
        <v>921.7</v>
      </c>
      <c r="H132" s="14" t="s">
        <v>871</v>
      </c>
      <c r="I132" s="14" t="s">
        <v>875</v>
      </c>
      <c r="J132" s="14" t="s">
        <v>900</v>
      </c>
      <c r="K132" s="14" t="s">
        <v>877</v>
      </c>
    </row>
    <row r="133" spans="1:11" hidden="1" x14ac:dyDescent="0.25">
      <c r="A133" s="774">
        <v>56210</v>
      </c>
      <c r="B133" s="774">
        <v>1000</v>
      </c>
      <c r="C133" s="774">
        <v>100</v>
      </c>
      <c r="D133" s="774">
        <v>2310</v>
      </c>
      <c r="E133" s="774" t="s">
        <v>1395</v>
      </c>
      <c r="F133" s="774" t="s">
        <v>1430</v>
      </c>
      <c r="G133" s="777">
        <v>144.9</v>
      </c>
      <c r="H133" s="14" t="s">
        <v>871</v>
      </c>
      <c r="I133" s="14" t="s">
        <v>875</v>
      </c>
      <c r="J133" s="14" t="s">
        <v>900</v>
      </c>
      <c r="K133" s="14" t="s">
        <v>877</v>
      </c>
    </row>
    <row r="134" spans="1:11" hidden="1" x14ac:dyDescent="0.25">
      <c r="A134" s="774">
        <v>56210</v>
      </c>
      <c r="B134" s="774">
        <v>1000</v>
      </c>
      <c r="C134" s="774">
        <v>100</v>
      </c>
      <c r="D134" s="774">
        <v>2400</v>
      </c>
      <c r="E134" s="774" t="s">
        <v>1395</v>
      </c>
      <c r="F134" s="774" t="s">
        <v>1430</v>
      </c>
      <c r="G134" s="777">
        <v>4796.96</v>
      </c>
      <c r="H134" s="14" t="s">
        <v>871</v>
      </c>
      <c r="I134" s="14" t="s">
        <v>875</v>
      </c>
      <c r="J134" s="14" t="s">
        <v>904</v>
      </c>
      <c r="K134" s="14" t="s">
        <v>877</v>
      </c>
    </row>
    <row r="135" spans="1:11" hidden="1" x14ac:dyDescent="0.25">
      <c r="A135" s="774">
        <v>56210</v>
      </c>
      <c r="B135" s="774">
        <v>1000</v>
      </c>
      <c r="C135" s="774">
        <v>100</v>
      </c>
      <c r="D135" s="774">
        <v>2410</v>
      </c>
      <c r="E135" s="774" t="s">
        <v>1395</v>
      </c>
      <c r="F135" s="774" t="s">
        <v>1430</v>
      </c>
      <c r="G135" s="777">
        <v>407.02</v>
      </c>
      <c r="H135" s="14" t="s">
        <v>871</v>
      </c>
      <c r="I135" s="14" t="s">
        <v>875</v>
      </c>
      <c r="J135" s="14" t="s">
        <v>904</v>
      </c>
      <c r="K135" s="14" t="s">
        <v>877</v>
      </c>
    </row>
    <row r="136" spans="1:11" hidden="1" x14ac:dyDescent="0.25">
      <c r="A136" s="774">
        <v>56210</v>
      </c>
      <c r="B136" s="774">
        <v>1000</v>
      </c>
      <c r="C136" s="774">
        <v>100</v>
      </c>
      <c r="D136" s="774">
        <v>2500</v>
      </c>
      <c r="E136" s="774" t="s">
        <v>1395</v>
      </c>
      <c r="F136" s="774" t="s">
        <v>1430</v>
      </c>
      <c r="G136" s="777">
        <v>28606.53</v>
      </c>
      <c r="H136" s="14" t="s">
        <v>871</v>
      </c>
      <c r="I136" s="14" t="s">
        <v>875</v>
      </c>
      <c r="J136" s="14" t="s">
        <v>908</v>
      </c>
      <c r="K136" s="14" t="s">
        <v>877</v>
      </c>
    </row>
    <row r="137" spans="1:11" hidden="1" x14ac:dyDescent="0.25">
      <c r="A137" s="774">
        <v>56210</v>
      </c>
      <c r="B137" s="774">
        <v>1000</v>
      </c>
      <c r="C137" s="774">
        <v>100</v>
      </c>
      <c r="D137" s="774">
        <v>2510</v>
      </c>
      <c r="E137" s="774" t="s">
        <v>1395</v>
      </c>
      <c r="F137" s="774" t="s">
        <v>1430</v>
      </c>
      <c r="G137" s="777">
        <v>468.07</v>
      </c>
      <c r="H137" s="14" t="s">
        <v>871</v>
      </c>
      <c r="I137" s="14" t="s">
        <v>875</v>
      </c>
      <c r="J137" s="14" t="s">
        <v>908</v>
      </c>
      <c r="K137" s="14" t="s">
        <v>877</v>
      </c>
    </row>
    <row r="138" spans="1:11" hidden="1" x14ac:dyDescent="0.25">
      <c r="A138" s="774">
        <v>56210</v>
      </c>
      <c r="B138" s="774">
        <v>1000</v>
      </c>
      <c r="C138" s="774">
        <v>100</v>
      </c>
      <c r="D138" s="774">
        <v>2600</v>
      </c>
      <c r="E138" s="774" t="s">
        <v>1395</v>
      </c>
      <c r="F138" s="774" t="s">
        <v>1430</v>
      </c>
      <c r="G138" s="777">
        <v>2831.34</v>
      </c>
      <c r="H138" s="14" t="s">
        <v>871</v>
      </c>
      <c r="I138" s="14" t="s">
        <v>875</v>
      </c>
      <c r="J138" s="14" t="s">
        <v>912</v>
      </c>
      <c r="K138" s="14" t="s">
        <v>877</v>
      </c>
    </row>
    <row r="139" spans="1:11" hidden="1" x14ac:dyDescent="0.25">
      <c r="A139" s="774">
        <v>56210</v>
      </c>
      <c r="B139" s="774">
        <v>1000</v>
      </c>
      <c r="C139" s="774">
        <v>100</v>
      </c>
      <c r="D139" s="774">
        <v>2700</v>
      </c>
      <c r="E139" s="774" t="s">
        <v>1395</v>
      </c>
      <c r="F139" s="774" t="s">
        <v>1430</v>
      </c>
      <c r="G139" s="777">
        <v>0.94</v>
      </c>
      <c r="H139" s="14" t="s">
        <v>871</v>
      </c>
      <c r="I139" s="14" t="s">
        <v>875</v>
      </c>
      <c r="J139" s="14" t="s">
        <v>916</v>
      </c>
      <c r="K139" s="14" t="s">
        <v>877</v>
      </c>
    </row>
    <row r="140" spans="1:11" hidden="1" x14ac:dyDescent="0.25">
      <c r="A140" s="774">
        <v>56210</v>
      </c>
      <c r="B140" s="774">
        <v>1000</v>
      </c>
      <c r="C140" s="774">
        <v>200</v>
      </c>
      <c r="D140" s="774">
        <v>1000</v>
      </c>
      <c r="E140" s="774" t="s">
        <v>1395</v>
      </c>
      <c r="F140" s="774" t="s">
        <v>1430</v>
      </c>
      <c r="G140" s="777">
        <v>20740.68</v>
      </c>
      <c r="H140" s="14" t="s">
        <v>871</v>
      </c>
      <c r="I140" s="14" t="s">
        <v>879</v>
      </c>
      <c r="J140" s="14" t="s">
        <v>876</v>
      </c>
      <c r="K140" s="14" t="s">
        <v>877</v>
      </c>
    </row>
    <row r="141" spans="1:11" hidden="1" x14ac:dyDescent="0.25">
      <c r="A141" s="774">
        <v>56210</v>
      </c>
      <c r="B141" s="774">
        <v>1000</v>
      </c>
      <c r="C141" s="774">
        <v>200</v>
      </c>
      <c r="D141" s="774">
        <v>2100</v>
      </c>
      <c r="E141" s="774" t="s">
        <v>1395</v>
      </c>
      <c r="F141" s="774" t="s">
        <v>1430</v>
      </c>
      <c r="G141" s="777">
        <v>6922.41</v>
      </c>
      <c r="H141" s="14" t="s">
        <v>871</v>
      </c>
      <c r="I141" s="14" t="s">
        <v>879</v>
      </c>
      <c r="J141" s="14" t="s">
        <v>884</v>
      </c>
      <c r="K141" s="14" t="s">
        <v>877</v>
      </c>
    </row>
    <row r="142" spans="1:11" hidden="1" x14ac:dyDescent="0.25">
      <c r="A142" s="774">
        <v>56210</v>
      </c>
      <c r="B142" s="774">
        <v>1000</v>
      </c>
      <c r="C142" s="774">
        <v>240</v>
      </c>
      <c r="D142" s="774">
        <v>1000</v>
      </c>
      <c r="E142" s="774" t="s">
        <v>1395</v>
      </c>
      <c r="F142" s="774" t="s">
        <v>1430</v>
      </c>
      <c r="G142" s="777">
        <v>3568.35</v>
      </c>
      <c r="H142" s="14" t="s">
        <v>871</v>
      </c>
      <c r="I142" s="14" t="s">
        <v>879</v>
      </c>
      <c r="J142" s="14" t="s">
        <v>876</v>
      </c>
      <c r="K142" s="14" t="s">
        <v>877</v>
      </c>
    </row>
    <row r="143" spans="1:11" hidden="1" x14ac:dyDescent="0.25">
      <c r="A143" s="774">
        <v>56210</v>
      </c>
      <c r="B143" s="774">
        <v>1000</v>
      </c>
      <c r="C143" s="774">
        <v>400</v>
      </c>
      <c r="D143" s="774">
        <v>2700</v>
      </c>
      <c r="E143" s="774" t="s">
        <v>1395</v>
      </c>
      <c r="F143" s="774" t="s">
        <v>1430</v>
      </c>
      <c r="G143" s="777">
        <v>69.05</v>
      </c>
      <c r="H143" s="14" t="s">
        <v>871</v>
      </c>
      <c r="I143" s="14" t="s">
        <v>895</v>
      </c>
      <c r="J143" s="14" t="s">
        <v>916</v>
      </c>
      <c r="K143" s="14" t="s">
        <v>877</v>
      </c>
    </row>
    <row r="144" spans="1:11" x14ac:dyDescent="0.25">
      <c r="A144" s="774">
        <v>56210</v>
      </c>
      <c r="B144" s="774">
        <v>1220</v>
      </c>
      <c r="C144" s="774">
        <v>200</v>
      </c>
      <c r="D144" s="774">
        <v>2100</v>
      </c>
      <c r="E144" s="774" t="s">
        <v>1395</v>
      </c>
      <c r="F144" s="774" t="s">
        <v>1430</v>
      </c>
      <c r="G144" s="777">
        <v>2655</v>
      </c>
      <c r="H144" s="14" t="s">
        <v>914</v>
      </c>
      <c r="I144" s="14" t="s">
        <v>879</v>
      </c>
      <c r="J144" s="14" t="s">
        <v>884</v>
      </c>
      <c r="K144" s="14" t="s">
        <v>877</v>
      </c>
    </row>
    <row r="145" spans="1:11" hidden="1" x14ac:dyDescent="0.25">
      <c r="A145" s="774">
        <v>56210</v>
      </c>
      <c r="B145" s="774">
        <v>1487</v>
      </c>
      <c r="C145" s="774">
        <v>100</v>
      </c>
      <c r="D145" s="774">
        <v>2100</v>
      </c>
      <c r="E145" s="774" t="s">
        <v>1395</v>
      </c>
      <c r="F145" s="774" t="s">
        <v>1430</v>
      </c>
      <c r="G145" s="777">
        <v>7663.68</v>
      </c>
      <c r="H145" s="14" t="s">
        <v>974</v>
      </c>
      <c r="I145" s="14" t="s">
        <v>875</v>
      </c>
      <c r="J145" s="14" t="s">
        <v>884</v>
      </c>
      <c r="K145" s="14" t="s">
        <v>877</v>
      </c>
    </row>
    <row r="146" spans="1:11" hidden="1" x14ac:dyDescent="0.25">
      <c r="A146" s="774">
        <v>56210</v>
      </c>
      <c r="B146" s="774">
        <v>1534</v>
      </c>
      <c r="C146" s="774">
        <v>400</v>
      </c>
      <c r="D146" s="774">
        <v>2700</v>
      </c>
      <c r="E146" s="774" t="s">
        <v>1395</v>
      </c>
      <c r="F146" s="774" t="s">
        <v>1430</v>
      </c>
      <c r="G146" s="777">
        <v>316.57</v>
      </c>
      <c r="H146" s="14" t="s">
        <v>978</v>
      </c>
      <c r="I146" s="14" t="s">
        <v>895</v>
      </c>
      <c r="J146" s="14" t="s">
        <v>916</v>
      </c>
      <c r="K146" s="14" t="s">
        <v>877</v>
      </c>
    </row>
    <row r="147" spans="1:11" hidden="1" x14ac:dyDescent="0.25">
      <c r="A147" s="774">
        <v>56210</v>
      </c>
      <c r="B147" s="774">
        <v>1737</v>
      </c>
      <c r="C147" s="774">
        <v>620</v>
      </c>
      <c r="D147" s="774">
        <v>1000</v>
      </c>
      <c r="E147" s="774" t="s">
        <v>1395</v>
      </c>
      <c r="F147" s="774" t="s">
        <v>1430</v>
      </c>
      <c r="G147" s="777">
        <v>155.1</v>
      </c>
      <c r="H147" s="14" t="s">
        <v>978</v>
      </c>
      <c r="I147" s="14" t="s">
        <v>923</v>
      </c>
      <c r="J147" s="14" t="s">
        <v>876</v>
      </c>
      <c r="K147" s="14" t="s">
        <v>877</v>
      </c>
    </row>
    <row r="148" spans="1:11" hidden="1" x14ac:dyDescent="0.25">
      <c r="A148" s="774">
        <v>56210</v>
      </c>
      <c r="B148" s="774">
        <v>1743</v>
      </c>
      <c r="C148" s="774">
        <v>620</v>
      </c>
      <c r="D148" s="774">
        <v>1000</v>
      </c>
      <c r="E148" s="774" t="s">
        <v>1395</v>
      </c>
      <c r="F148" s="774" t="s">
        <v>1430</v>
      </c>
      <c r="G148" s="777">
        <v>79.03</v>
      </c>
      <c r="H148" s="14" t="s">
        <v>978</v>
      </c>
      <c r="I148" s="14" t="s">
        <v>923</v>
      </c>
      <c r="J148" s="14" t="s">
        <v>876</v>
      </c>
      <c r="K148" s="14" t="s">
        <v>877</v>
      </c>
    </row>
    <row r="149" spans="1:11" hidden="1" x14ac:dyDescent="0.25">
      <c r="A149" s="774">
        <v>56210</v>
      </c>
      <c r="B149" s="774">
        <v>1767</v>
      </c>
      <c r="C149" s="774">
        <v>620</v>
      </c>
      <c r="D149" s="774">
        <v>1000</v>
      </c>
      <c r="E149" s="774" t="s">
        <v>1395</v>
      </c>
      <c r="F149" s="774" t="s">
        <v>1430</v>
      </c>
      <c r="G149" s="777">
        <v>123.18</v>
      </c>
      <c r="H149" s="14" t="s">
        <v>978</v>
      </c>
      <c r="I149" s="14" t="s">
        <v>923</v>
      </c>
      <c r="J149" s="14" t="s">
        <v>876</v>
      </c>
      <c r="K149" s="14" t="s">
        <v>877</v>
      </c>
    </row>
    <row r="150" spans="1:11" hidden="1" x14ac:dyDescent="0.25">
      <c r="A150" s="774">
        <v>56210</v>
      </c>
      <c r="B150" s="774">
        <v>1805</v>
      </c>
      <c r="C150" s="774">
        <v>615</v>
      </c>
      <c r="D150" s="774">
        <v>1000</v>
      </c>
      <c r="E150" s="774" t="s">
        <v>1395</v>
      </c>
      <c r="F150" s="774" t="s">
        <v>1430</v>
      </c>
      <c r="G150" s="777">
        <v>86.22</v>
      </c>
      <c r="H150" s="14" t="s">
        <v>978</v>
      </c>
      <c r="I150" s="14" t="s">
        <v>919</v>
      </c>
      <c r="J150" s="14" t="s">
        <v>876</v>
      </c>
      <c r="K150" s="14" t="s">
        <v>877</v>
      </c>
    </row>
    <row r="151" spans="1:11" hidden="1" x14ac:dyDescent="0.25">
      <c r="A151" s="774">
        <v>56210</v>
      </c>
      <c r="B151" s="774">
        <v>1858</v>
      </c>
      <c r="C151" s="774">
        <v>615</v>
      </c>
      <c r="D151" s="774">
        <v>1000</v>
      </c>
      <c r="E151" s="774" t="s">
        <v>1395</v>
      </c>
      <c r="F151" s="774" t="s">
        <v>1430</v>
      </c>
      <c r="G151" s="777">
        <v>94.83</v>
      </c>
      <c r="H151" s="14" t="s">
        <v>978</v>
      </c>
      <c r="I151" s="14" t="s">
        <v>919</v>
      </c>
      <c r="J151" s="14" t="s">
        <v>876</v>
      </c>
      <c r="K151" s="14" t="s">
        <v>877</v>
      </c>
    </row>
    <row r="152" spans="1:11" hidden="1" x14ac:dyDescent="0.25">
      <c r="A152" s="774">
        <v>56210</v>
      </c>
      <c r="B152" s="774">
        <v>1910</v>
      </c>
      <c r="C152" s="774">
        <v>615</v>
      </c>
      <c r="D152" s="774">
        <v>1000</v>
      </c>
      <c r="E152" s="774" t="s">
        <v>1395</v>
      </c>
      <c r="F152" s="774" t="s">
        <v>1430</v>
      </c>
      <c r="G152" s="777">
        <v>70.400000000000006</v>
      </c>
      <c r="H152" s="14" t="s">
        <v>978</v>
      </c>
      <c r="I152" s="14" t="s">
        <v>919</v>
      </c>
      <c r="J152" s="14" t="s">
        <v>876</v>
      </c>
      <c r="K152" s="14" t="s">
        <v>877</v>
      </c>
    </row>
    <row r="153" spans="1:11" hidden="1" x14ac:dyDescent="0.25">
      <c r="A153" s="774">
        <v>56211</v>
      </c>
      <c r="B153" s="774">
        <v>1000</v>
      </c>
      <c r="C153" s="774">
        <v>100</v>
      </c>
      <c r="D153" s="774">
        <v>1000</v>
      </c>
      <c r="E153" s="774" t="s">
        <v>1395</v>
      </c>
      <c r="F153" s="774" t="s">
        <v>1431</v>
      </c>
      <c r="G153" s="777">
        <v>6808.2</v>
      </c>
      <c r="H153" s="14" t="s">
        <v>871</v>
      </c>
      <c r="I153" s="14" t="s">
        <v>875</v>
      </c>
      <c r="J153" s="14" t="s">
        <v>876</v>
      </c>
      <c r="K153" s="14" t="s">
        <v>877</v>
      </c>
    </row>
    <row r="154" spans="1:11" hidden="1" x14ac:dyDescent="0.25">
      <c r="A154" s="774">
        <v>56211</v>
      </c>
      <c r="B154" s="774">
        <v>1000</v>
      </c>
      <c r="C154" s="774">
        <v>100</v>
      </c>
      <c r="D154" s="774">
        <v>2100</v>
      </c>
      <c r="E154" s="774" t="s">
        <v>1395</v>
      </c>
      <c r="F154" s="774" t="s">
        <v>1431</v>
      </c>
      <c r="G154" s="777">
        <v>1184.8900000000001</v>
      </c>
      <c r="H154" s="14" t="s">
        <v>871</v>
      </c>
      <c r="I154" s="14" t="s">
        <v>875</v>
      </c>
      <c r="J154" s="14" t="s">
        <v>884</v>
      </c>
      <c r="K154" s="14" t="s">
        <v>877</v>
      </c>
    </row>
    <row r="155" spans="1:11" hidden="1" x14ac:dyDescent="0.25">
      <c r="A155" s="774">
        <v>56211</v>
      </c>
      <c r="B155" s="774">
        <v>1000</v>
      </c>
      <c r="C155" s="774">
        <v>100</v>
      </c>
      <c r="D155" s="774">
        <v>2200</v>
      </c>
      <c r="E155" s="774" t="s">
        <v>1395</v>
      </c>
      <c r="F155" s="774" t="s">
        <v>1431</v>
      </c>
      <c r="G155" s="777">
        <v>61.32</v>
      </c>
      <c r="H155" s="14" t="s">
        <v>871</v>
      </c>
      <c r="I155" s="14" t="s">
        <v>875</v>
      </c>
      <c r="J155" s="14" t="s">
        <v>888</v>
      </c>
      <c r="K155" s="14" t="s">
        <v>877</v>
      </c>
    </row>
    <row r="156" spans="1:11" hidden="1" x14ac:dyDescent="0.25">
      <c r="A156" s="774">
        <v>56211</v>
      </c>
      <c r="B156" s="774">
        <v>1000</v>
      </c>
      <c r="C156" s="774">
        <v>100</v>
      </c>
      <c r="D156" s="774">
        <v>2300</v>
      </c>
      <c r="E156" s="774" t="s">
        <v>1395</v>
      </c>
      <c r="F156" s="774" t="s">
        <v>1431</v>
      </c>
      <c r="G156" s="777">
        <v>61.08</v>
      </c>
      <c r="H156" s="14" t="s">
        <v>871</v>
      </c>
      <c r="I156" s="14" t="s">
        <v>875</v>
      </c>
      <c r="J156" s="14" t="s">
        <v>900</v>
      </c>
      <c r="K156" s="14" t="s">
        <v>877</v>
      </c>
    </row>
    <row r="157" spans="1:11" hidden="1" x14ac:dyDescent="0.25">
      <c r="A157" s="774">
        <v>56211</v>
      </c>
      <c r="B157" s="774">
        <v>1000</v>
      </c>
      <c r="C157" s="774">
        <v>100</v>
      </c>
      <c r="D157" s="774">
        <v>2310</v>
      </c>
      <c r="E157" s="774" t="s">
        <v>1395</v>
      </c>
      <c r="F157" s="774" t="s">
        <v>1431</v>
      </c>
      <c r="G157" s="777">
        <v>12.64</v>
      </c>
      <c r="H157" s="14" t="s">
        <v>871</v>
      </c>
      <c r="I157" s="14" t="s">
        <v>875</v>
      </c>
      <c r="J157" s="14" t="s">
        <v>900</v>
      </c>
      <c r="K157" s="14" t="s">
        <v>877</v>
      </c>
    </row>
    <row r="158" spans="1:11" hidden="1" x14ac:dyDescent="0.25">
      <c r="A158" s="774">
        <v>56211</v>
      </c>
      <c r="B158" s="774">
        <v>1000</v>
      </c>
      <c r="C158" s="774">
        <v>100</v>
      </c>
      <c r="D158" s="774">
        <v>2400</v>
      </c>
      <c r="E158" s="774" t="s">
        <v>1395</v>
      </c>
      <c r="F158" s="774" t="s">
        <v>1431</v>
      </c>
      <c r="G158" s="777">
        <v>202.83</v>
      </c>
      <c r="H158" s="14" t="s">
        <v>871</v>
      </c>
      <c r="I158" s="14" t="s">
        <v>875</v>
      </c>
      <c r="J158" s="14" t="s">
        <v>904</v>
      </c>
      <c r="K158" s="14" t="s">
        <v>877</v>
      </c>
    </row>
    <row r="159" spans="1:11" hidden="1" x14ac:dyDescent="0.25">
      <c r="A159" s="774">
        <v>56211</v>
      </c>
      <c r="B159" s="774">
        <v>1000</v>
      </c>
      <c r="C159" s="774">
        <v>100</v>
      </c>
      <c r="D159" s="774">
        <v>2410</v>
      </c>
      <c r="E159" s="774" t="s">
        <v>1395</v>
      </c>
      <c r="F159" s="774" t="s">
        <v>1431</v>
      </c>
      <c r="G159" s="777">
        <v>32.5</v>
      </c>
      <c r="H159" s="14" t="s">
        <v>871</v>
      </c>
      <c r="I159" s="14" t="s">
        <v>875</v>
      </c>
      <c r="J159" s="14" t="s">
        <v>904</v>
      </c>
      <c r="K159" s="14" t="s">
        <v>877</v>
      </c>
    </row>
    <row r="160" spans="1:11" hidden="1" x14ac:dyDescent="0.25">
      <c r="A160" s="774">
        <v>56211</v>
      </c>
      <c r="B160" s="774">
        <v>1000</v>
      </c>
      <c r="C160" s="774">
        <v>100</v>
      </c>
      <c r="D160" s="774">
        <v>2500</v>
      </c>
      <c r="E160" s="774" t="s">
        <v>1395</v>
      </c>
      <c r="F160" s="774" t="s">
        <v>1431</v>
      </c>
      <c r="G160" s="777">
        <v>1215.3599999999999</v>
      </c>
      <c r="H160" s="14" t="s">
        <v>871</v>
      </c>
      <c r="I160" s="14" t="s">
        <v>875</v>
      </c>
      <c r="J160" s="14" t="s">
        <v>908</v>
      </c>
      <c r="K160" s="14" t="s">
        <v>877</v>
      </c>
    </row>
    <row r="161" spans="1:11" hidden="1" x14ac:dyDescent="0.25">
      <c r="A161" s="774">
        <v>56211</v>
      </c>
      <c r="B161" s="774">
        <v>1000</v>
      </c>
      <c r="C161" s="774">
        <v>100</v>
      </c>
      <c r="D161" s="774">
        <v>2600</v>
      </c>
      <c r="E161" s="774" t="s">
        <v>1395</v>
      </c>
      <c r="F161" s="774" t="s">
        <v>1431</v>
      </c>
      <c r="G161" s="777">
        <v>27.31</v>
      </c>
      <c r="H161" s="14" t="s">
        <v>871</v>
      </c>
      <c r="I161" s="14" t="s">
        <v>875</v>
      </c>
      <c r="J161" s="14" t="s">
        <v>912</v>
      </c>
      <c r="K161" s="14" t="s">
        <v>877</v>
      </c>
    </row>
    <row r="162" spans="1:11" hidden="1" x14ac:dyDescent="0.25">
      <c r="A162" s="774">
        <v>56211</v>
      </c>
      <c r="B162" s="774">
        <v>1000</v>
      </c>
      <c r="C162" s="774">
        <v>100</v>
      </c>
      <c r="D162" s="774">
        <v>2700</v>
      </c>
      <c r="E162" s="774" t="s">
        <v>1395</v>
      </c>
      <c r="F162" s="774" t="s">
        <v>1431</v>
      </c>
      <c r="G162" s="777">
        <v>0.16</v>
      </c>
      <c r="H162" s="14" t="s">
        <v>871</v>
      </c>
      <c r="I162" s="14" t="s">
        <v>875</v>
      </c>
      <c r="J162" s="14" t="s">
        <v>916</v>
      </c>
      <c r="K162" s="14" t="s">
        <v>877</v>
      </c>
    </row>
    <row r="163" spans="1:11" hidden="1" x14ac:dyDescent="0.25">
      <c r="A163" s="774">
        <v>56211</v>
      </c>
      <c r="B163" s="774">
        <v>1000</v>
      </c>
      <c r="C163" s="774">
        <v>200</v>
      </c>
      <c r="D163" s="774">
        <v>1000</v>
      </c>
      <c r="E163" s="774" t="s">
        <v>1395</v>
      </c>
      <c r="F163" s="774" t="s">
        <v>1431</v>
      </c>
      <c r="G163" s="777">
        <v>324.13</v>
      </c>
      <c r="H163" s="14" t="s">
        <v>871</v>
      </c>
      <c r="I163" s="14" t="s">
        <v>879</v>
      </c>
      <c r="J163" s="14" t="s">
        <v>876</v>
      </c>
      <c r="K163" s="14" t="s">
        <v>877</v>
      </c>
    </row>
    <row r="164" spans="1:11" hidden="1" x14ac:dyDescent="0.25">
      <c r="A164" s="774">
        <v>56211</v>
      </c>
      <c r="B164" s="774">
        <v>1000</v>
      </c>
      <c r="C164" s="774">
        <v>200</v>
      </c>
      <c r="D164" s="774">
        <v>2100</v>
      </c>
      <c r="E164" s="774" t="s">
        <v>1395</v>
      </c>
      <c r="F164" s="774" t="s">
        <v>1431</v>
      </c>
      <c r="G164" s="777">
        <v>300.17</v>
      </c>
      <c r="H164" s="14" t="s">
        <v>871</v>
      </c>
      <c r="I164" s="14" t="s">
        <v>879</v>
      </c>
      <c r="J164" s="14" t="s">
        <v>884</v>
      </c>
      <c r="K164" s="14" t="s">
        <v>877</v>
      </c>
    </row>
    <row r="165" spans="1:11" hidden="1" x14ac:dyDescent="0.25">
      <c r="A165" s="774">
        <v>56211</v>
      </c>
      <c r="B165" s="774">
        <v>1000</v>
      </c>
      <c r="C165" s="774">
        <v>240</v>
      </c>
      <c r="D165" s="774">
        <v>1000</v>
      </c>
      <c r="E165" s="774" t="s">
        <v>1395</v>
      </c>
      <c r="F165" s="774" t="s">
        <v>1431</v>
      </c>
      <c r="G165" s="777">
        <v>346.83</v>
      </c>
      <c r="H165" s="14" t="s">
        <v>871</v>
      </c>
      <c r="I165" s="14" t="s">
        <v>879</v>
      </c>
      <c r="J165" s="14" t="s">
        <v>876</v>
      </c>
      <c r="K165" s="14" t="s">
        <v>877</v>
      </c>
    </row>
    <row r="166" spans="1:11" hidden="1" x14ac:dyDescent="0.25">
      <c r="A166" s="774">
        <v>56211</v>
      </c>
      <c r="B166" s="774">
        <v>1000</v>
      </c>
      <c r="C166" s="774">
        <v>400</v>
      </c>
      <c r="D166" s="774">
        <v>2700</v>
      </c>
      <c r="E166" s="774" t="s">
        <v>1395</v>
      </c>
      <c r="F166" s="774" t="s">
        <v>1431</v>
      </c>
      <c r="G166" s="777">
        <v>3</v>
      </c>
      <c r="H166" s="14" t="s">
        <v>871</v>
      </c>
      <c r="I166" s="14" t="s">
        <v>895</v>
      </c>
      <c r="J166" s="14" t="s">
        <v>916</v>
      </c>
      <c r="K166" s="14" t="s">
        <v>877</v>
      </c>
    </row>
    <row r="167" spans="1:11" hidden="1" x14ac:dyDescent="0.25">
      <c r="A167" s="774">
        <v>56211</v>
      </c>
      <c r="B167" s="774">
        <v>1534</v>
      </c>
      <c r="C167" s="774">
        <v>400</v>
      </c>
      <c r="D167" s="774">
        <v>2700</v>
      </c>
      <c r="E167" s="774" t="s">
        <v>1395</v>
      </c>
      <c r="F167" s="774" t="s">
        <v>1431</v>
      </c>
      <c r="G167" s="777">
        <v>27.5</v>
      </c>
      <c r="H167" s="14" t="s">
        <v>978</v>
      </c>
      <c r="I167" s="14" t="s">
        <v>895</v>
      </c>
      <c r="J167" s="14" t="s">
        <v>916</v>
      </c>
      <c r="K167" s="14" t="s">
        <v>877</v>
      </c>
    </row>
    <row r="168" spans="1:11" hidden="1" x14ac:dyDescent="0.25">
      <c r="A168" s="774">
        <v>56211</v>
      </c>
      <c r="B168" s="774">
        <v>1737</v>
      </c>
      <c r="C168" s="774">
        <v>620</v>
      </c>
      <c r="D168" s="774">
        <v>1000</v>
      </c>
      <c r="E168" s="774" t="s">
        <v>1395</v>
      </c>
      <c r="F168" s="774" t="s">
        <v>1431</v>
      </c>
      <c r="G168" s="777">
        <v>22.16</v>
      </c>
      <c r="H168" s="14" t="s">
        <v>978</v>
      </c>
      <c r="I168" s="14" t="s">
        <v>923</v>
      </c>
      <c r="J168" s="14" t="s">
        <v>876</v>
      </c>
      <c r="K168" s="14" t="s">
        <v>877</v>
      </c>
    </row>
    <row r="169" spans="1:11" hidden="1" x14ac:dyDescent="0.25">
      <c r="A169" s="774">
        <v>56211</v>
      </c>
      <c r="B169" s="774">
        <v>1858</v>
      </c>
      <c r="C169" s="774">
        <v>615</v>
      </c>
      <c r="D169" s="774">
        <v>1000</v>
      </c>
      <c r="E169" s="774" t="s">
        <v>1395</v>
      </c>
      <c r="F169" s="774" t="s">
        <v>1431</v>
      </c>
      <c r="G169" s="777">
        <v>15.14</v>
      </c>
      <c r="H169" s="14" t="s">
        <v>978</v>
      </c>
      <c r="I169" s="14" t="s">
        <v>919</v>
      </c>
      <c r="J169" s="14" t="s">
        <v>876</v>
      </c>
      <c r="K169" s="14" t="s">
        <v>877</v>
      </c>
    </row>
    <row r="170" spans="1:11" hidden="1" x14ac:dyDescent="0.25">
      <c r="A170" s="774">
        <v>56211</v>
      </c>
      <c r="B170" s="774">
        <v>1910</v>
      </c>
      <c r="C170" s="774">
        <v>615</v>
      </c>
      <c r="D170" s="774">
        <v>1000</v>
      </c>
      <c r="E170" s="774" t="s">
        <v>1395</v>
      </c>
      <c r="F170" s="774" t="s">
        <v>1431</v>
      </c>
      <c r="G170" s="777">
        <v>11.68</v>
      </c>
      <c r="H170" s="14" t="s">
        <v>978</v>
      </c>
      <c r="I170" s="14" t="s">
        <v>919</v>
      </c>
      <c r="J170" s="14" t="s">
        <v>876</v>
      </c>
      <c r="K170" s="14" t="s">
        <v>877</v>
      </c>
    </row>
    <row r="171" spans="1:11" hidden="1" x14ac:dyDescent="0.25">
      <c r="A171" s="774">
        <v>56212</v>
      </c>
      <c r="B171" s="774">
        <v>1000</v>
      </c>
      <c r="C171" s="774">
        <v>100</v>
      </c>
      <c r="D171" s="774">
        <v>1000</v>
      </c>
      <c r="E171" s="774" t="s">
        <v>1395</v>
      </c>
      <c r="F171" s="774" t="s">
        <v>1432</v>
      </c>
      <c r="G171" s="777">
        <v>1079.08</v>
      </c>
      <c r="H171" s="14" t="s">
        <v>871</v>
      </c>
      <c r="I171" s="14" t="s">
        <v>875</v>
      </c>
      <c r="J171" s="14" t="s">
        <v>876</v>
      </c>
      <c r="K171" s="14" t="s">
        <v>877</v>
      </c>
    </row>
    <row r="172" spans="1:11" hidden="1" x14ac:dyDescent="0.25">
      <c r="A172" s="774">
        <v>56212</v>
      </c>
      <c r="B172" s="774">
        <v>1000</v>
      </c>
      <c r="C172" s="774">
        <v>100</v>
      </c>
      <c r="D172" s="774">
        <v>2100</v>
      </c>
      <c r="E172" s="774" t="s">
        <v>1395</v>
      </c>
      <c r="F172" s="774" t="s">
        <v>1432</v>
      </c>
      <c r="G172" s="777">
        <v>344.05</v>
      </c>
      <c r="H172" s="14" t="s">
        <v>871</v>
      </c>
      <c r="I172" s="14" t="s">
        <v>875</v>
      </c>
      <c r="J172" s="14" t="s">
        <v>884</v>
      </c>
      <c r="K172" s="14" t="s">
        <v>877</v>
      </c>
    </row>
    <row r="173" spans="1:11" hidden="1" x14ac:dyDescent="0.25">
      <c r="A173" s="774">
        <v>56212</v>
      </c>
      <c r="B173" s="774">
        <v>1000</v>
      </c>
      <c r="C173" s="774">
        <v>100</v>
      </c>
      <c r="D173" s="774">
        <v>2110</v>
      </c>
      <c r="E173" s="774" t="s">
        <v>1395</v>
      </c>
      <c r="F173" s="774" t="s">
        <v>1432</v>
      </c>
      <c r="G173" s="777">
        <v>7.39</v>
      </c>
      <c r="H173" s="14" t="s">
        <v>871</v>
      </c>
      <c r="I173" s="14" t="s">
        <v>875</v>
      </c>
      <c r="J173" s="14" t="s">
        <v>884</v>
      </c>
      <c r="K173" s="14" t="s">
        <v>877</v>
      </c>
    </row>
    <row r="174" spans="1:11" hidden="1" x14ac:dyDescent="0.25">
      <c r="A174" s="774">
        <v>56212</v>
      </c>
      <c r="B174" s="774">
        <v>1000</v>
      </c>
      <c r="C174" s="774">
        <v>100</v>
      </c>
      <c r="D174" s="774">
        <v>2200</v>
      </c>
      <c r="E174" s="774" t="s">
        <v>1395</v>
      </c>
      <c r="F174" s="774" t="s">
        <v>1432</v>
      </c>
      <c r="G174" s="777">
        <v>63.14</v>
      </c>
      <c r="H174" s="14" t="s">
        <v>871</v>
      </c>
      <c r="I174" s="14" t="s">
        <v>875</v>
      </c>
      <c r="J174" s="14" t="s">
        <v>888</v>
      </c>
      <c r="K174" s="14" t="s">
        <v>877</v>
      </c>
    </row>
    <row r="175" spans="1:11" hidden="1" x14ac:dyDescent="0.25">
      <c r="A175" s="774">
        <v>56212</v>
      </c>
      <c r="B175" s="774">
        <v>1000</v>
      </c>
      <c r="C175" s="774">
        <v>100</v>
      </c>
      <c r="D175" s="774">
        <v>2300</v>
      </c>
      <c r="E175" s="774" t="s">
        <v>1395</v>
      </c>
      <c r="F175" s="774" t="s">
        <v>1432</v>
      </c>
      <c r="G175" s="777">
        <v>18.18</v>
      </c>
      <c r="H175" s="14" t="s">
        <v>871</v>
      </c>
      <c r="I175" s="14" t="s">
        <v>875</v>
      </c>
      <c r="J175" s="14" t="s">
        <v>900</v>
      </c>
      <c r="K175" s="14" t="s">
        <v>877</v>
      </c>
    </row>
    <row r="176" spans="1:11" hidden="1" x14ac:dyDescent="0.25">
      <c r="A176" s="774">
        <v>56212</v>
      </c>
      <c r="B176" s="774">
        <v>1000</v>
      </c>
      <c r="C176" s="774">
        <v>100</v>
      </c>
      <c r="D176" s="774">
        <v>2310</v>
      </c>
      <c r="E176" s="774" t="s">
        <v>1395</v>
      </c>
      <c r="F176" s="774" t="s">
        <v>1432</v>
      </c>
      <c r="G176" s="777">
        <v>2.9</v>
      </c>
      <c r="H176" s="14" t="s">
        <v>871</v>
      </c>
      <c r="I176" s="14" t="s">
        <v>875</v>
      </c>
      <c r="J176" s="14" t="s">
        <v>900</v>
      </c>
      <c r="K176" s="14" t="s">
        <v>877</v>
      </c>
    </row>
    <row r="177" spans="1:11" hidden="1" x14ac:dyDescent="0.25">
      <c r="A177" s="774">
        <v>56212</v>
      </c>
      <c r="B177" s="774">
        <v>1000</v>
      </c>
      <c r="C177" s="774">
        <v>100</v>
      </c>
      <c r="D177" s="774">
        <v>2400</v>
      </c>
      <c r="E177" s="774" t="s">
        <v>1395</v>
      </c>
      <c r="F177" s="774" t="s">
        <v>1432</v>
      </c>
      <c r="G177" s="777">
        <v>76.09</v>
      </c>
      <c r="H177" s="14" t="s">
        <v>871</v>
      </c>
      <c r="I177" s="14" t="s">
        <v>875</v>
      </c>
      <c r="J177" s="14" t="s">
        <v>904</v>
      </c>
      <c r="K177" s="14" t="s">
        <v>877</v>
      </c>
    </row>
    <row r="178" spans="1:11" hidden="1" x14ac:dyDescent="0.25">
      <c r="A178" s="774">
        <v>56212</v>
      </c>
      <c r="B178" s="774">
        <v>1000</v>
      </c>
      <c r="C178" s="774">
        <v>100</v>
      </c>
      <c r="D178" s="774">
        <v>2410</v>
      </c>
      <c r="E178" s="774" t="s">
        <v>1395</v>
      </c>
      <c r="F178" s="774" t="s">
        <v>1432</v>
      </c>
      <c r="G178" s="777">
        <v>8.1</v>
      </c>
      <c r="H178" s="14" t="s">
        <v>871</v>
      </c>
      <c r="I178" s="14" t="s">
        <v>875</v>
      </c>
      <c r="J178" s="14" t="s">
        <v>904</v>
      </c>
      <c r="K178" s="14" t="s">
        <v>877</v>
      </c>
    </row>
    <row r="179" spans="1:11" hidden="1" x14ac:dyDescent="0.25">
      <c r="A179" s="774">
        <v>56212</v>
      </c>
      <c r="B179" s="774">
        <v>1000</v>
      </c>
      <c r="C179" s="774">
        <v>100</v>
      </c>
      <c r="D179" s="774">
        <v>2500</v>
      </c>
      <c r="E179" s="774" t="s">
        <v>1395</v>
      </c>
      <c r="F179" s="774" t="s">
        <v>1432</v>
      </c>
      <c r="G179" s="777">
        <v>29.35</v>
      </c>
      <c r="H179" s="14" t="s">
        <v>871</v>
      </c>
      <c r="I179" s="14" t="s">
        <v>875</v>
      </c>
      <c r="J179" s="14" t="s">
        <v>908</v>
      </c>
      <c r="K179" s="14" t="s">
        <v>877</v>
      </c>
    </row>
    <row r="180" spans="1:11" hidden="1" x14ac:dyDescent="0.25">
      <c r="A180" s="774">
        <v>56212</v>
      </c>
      <c r="B180" s="774">
        <v>1000</v>
      </c>
      <c r="C180" s="774">
        <v>100</v>
      </c>
      <c r="D180" s="774">
        <v>2510</v>
      </c>
      <c r="E180" s="774" t="s">
        <v>1395</v>
      </c>
      <c r="F180" s="774" t="s">
        <v>1432</v>
      </c>
      <c r="G180" s="777">
        <v>9.36</v>
      </c>
      <c r="H180" s="14" t="s">
        <v>871</v>
      </c>
      <c r="I180" s="14" t="s">
        <v>875</v>
      </c>
      <c r="J180" s="14" t="s">
        <v>908</v>
      </c>
      <c r="K180" s="14" t="s">
        <v>877</v>
      </c>
    </row>
    <row r="181" spans="1:11" hidden="1" x14ac:dyDescent="0.25">
      <c r="A181" s="774">
        <v>56212</v>
      </c>
      <c r="B181" s="774">
        <v>1000</v>
      </c>
      <c r="C181" s="774">
        <v>100</v>
      </c>
      <c r="D181" s="774">
        <v>2600</v>
      </c>
      <c r="E181" s="774" t="s">
        <v>1395</v>
      </c>
      <c r="F181" s="774" t="s">
        <v>1432</v>
      </c>
      <c r="G181" s="777">
        <v>56.5</v>
      </c>
      <c r="H181" s="14" t="s">
        <v>871</v>
      </c>
      <c r="I181" s="14" t="s">
        <v>875</v>
      </c>
      <c r="J181" s="14" t="s">
        <v>912</v>
      </c>
      <c r="K181" s="14" t="s">
        <v>877</v>
      </c>
    </row>
    <row r="182" spans="1:11" hidden="1" x14ac:dyDescent="0.25">
      <c r="A182" s="774">
        <v>56212</v>
      </c>
      <c r="B182" s="774">
        <v>1000</v>
      </c>
      <c r="C182" s="774">
        <v>100</v>
      </c>
      <c r="D182" s="774">
        <v>2700</v>
      </c>
      <c r="E182" s="774" t="s">
        <v>1395</v>
      </c>
      <c r="F182" s="774" t="s">
        <v>1432</v>
      </c>
      <c r="G182" s="777">
        <v>0.02</v>
      </c>
      <c r="H182" s="14" t="s">
        <v>871</v>
      </c>
      <c r="I182" s="14" t="s">
        <v>875</v>
      </c>
      <c r="J182" s="14" t="s">
        <v>916</v>
      </c>
      <c r="K182" s="14" t="s">
        <v>877</v>
      </c>
    </row>
    <row r="183" spans="1:11" hidden="1" x14ac:dyDescent="0.25">
      <c r="A183" s="774">
        <v>56212</v>
      </c>
      <c r="B183" s="774">
        <v>1000</v>
      </c>
      <c r="C183" s="774">
        <v>200</v>
      </c>
      <c r="D183" s="774">
        <v>1000</v>
      </c>
      <c r="E183" s="774" t="s">
        <v>1395</v>
      </c>
      <c r="F183" s="774" t="s">
        <v>1432</v>
      </c>
      <c r="G183" s="777">
        <v>419.74</v>
      </c>
      <c r="H183" s="14" t="s">
        <v>871</v>
      </c>
      <c r="I183" s="14" t="s">
        <v>879</v>
      </c>
      <c r="J183" s="14" t="s">
        <v>876</v>
      </c>
      <c r="K183" s="14" t="s">
        <v>877</v>
      </c>
    </row>
    <row r="184" spans="1:11" hidden="1" x14ac:dyDescent="0.25">
      <c r="A184" s="774">
        <v>56212</v>
      </c>
      <c r="B184" s="774">
        <v>1000</v>
      </c>
      <c r="C184" s="774">
        <v>200</v>
      </c>
      <c r="D184" s="774">
        <v>2100</v>
      </c>
      <c r="E184" s="774" t="s">
        <v>1395</v>
      </c>
      <c r="F184" s="774" t="s">
        <v>1432</v>
      </c>
      <c r="G184" s="777">
        <v>140.68</v>
      </c>
      <c r="H184" s="14" t="s">
        <v>871</v>
      </c>
      <c r="I184" s="14" t="s">
        <v>879</v>
      </c>
      <c r="J184" s="14" t="s">
        <v>884</v>
      </c>
      <c r="K184" s="14" t="s">
        <v>877</v>
      </c>
    </row>
    <row r="185" spans="1:11" hidden="1" x14ac:dyDescent="0.25">
      <c r="A185" s="774">
        <v>56212</v>
      </c>
      <c r="B185" s="774">
        <v>1000</v>
      </c>
      <c r="C185" s="774">
        <v>240</v>
      </c>
      <c r="D185" s="774">
        <v>1000</v>
      </c>
      <c r="E185" s="774" t="s">
        <v>1395</v>
      </c>
      <c r="F185" s="774" t="s">
        <v>1432</v>
      </c>
      <c r="G185" s="777">
        <v>71.3</v>
      </c>
      <c r="H185" s="14" t="s">
        <v>871</v>
      </c>
      <c r="I185" s="14" t="s">
        <v>879</v>
      </c>
      <c r="J185" s="14" t="s">
        <v>876</v>
      </c>
      <c r="K185" s="14" t="s">
        <v>877</v>
      </c>
    </row>
    <row r="186" spans="1:11" hidden="1" x14ac:dyDescent="0.25">
      <c r="A186" s="774">
        <v>56212</v>
      </c>
      <c r="B186" s="774">
        <v>1000</v>
      </c>
      <c r="C186" s="774">
        <v>400</v>
      </c>
      <c r="D186" s="774">
        <v>2700</v>
      </c>
      <c r="E186" s="774" t="s">
        <v>1395</v>
      </c>
      <c r="F186" s="774" t="s">
        <v>1432</v>
      </c>
      <c r="G186" s="777">
        <v>1.37</v>
      </c>
      <c r="H186" s="14" t="s">
        <v>871</v>
      </c>
      <c r="I186" s="14" t="s">
        <v>895</v>
      </c>
      <c r="J186" s="14" t="s">
        <v>916</v>
      </c>
      <c r="K186" s="14" t="s">
        <v>877</v>
      </c>
    </row>
    <row r="187" spans="1:11" hidden="1" x14ac:dyDescent="0.25">
      <c r="A187" s="774">
        <v>56212</v>
      </c>
      <c r="B187" s="774">
        <v>1000</v>
      </c>
      <c r="C187" s="774">
        <v>620</v>
      </c>
      <c r="D187" s="774">
        <v>2100</v>
      </c>
      <c r="E187" s="774" t="s">
        <v>1395</v>
      </c>
      <c r="F187" s="774" t="s">
        <v>1432</v>
      </c>
      <c r="G187" s="777">
        <v>1.22</v>
      </c>
      <c r="H187" s="14" t="s">
        <v>871</v>
      </c>
      <c r="I187" s="14" t="s">
        <v>923</v>
      </c>
      <c r="J187" s="14" t="s">
        <v>884</v>
      </c>
      <c r="K187" s="14" t="s">
        <v>877</v>
      </c>
    </row>
    <row r="188" spans="1:11" x14ac:dyDescent="0.25">
      <c r="A188" s="774">
        <v>56212</v>
      </c>
      <c r="B188" s="774">
        <v>1220</v>
      </c>
      <c r="C188" s="774">
        <v>200</v>
      </c>
      <c r="D188" s="774">
        <v>2100</v>
      </c>
      <c r="E188" s="774" t="s">
        <v>1395</v>
      </c>
      <c r="F188" s="774" t="s">
        <v>1432</v>
      </c>
      <c r="G188" s="777">
        <v>60</v>
      </c>
      <c r="H188" s="14" t="s">
        <v>914</v>
      </c>
      <c r="I188" s="14" t="s">
        <v>879</v>
      </c>
      <c r="J188" s="14" t="s">
        <v>884</v>
      </c>
      <c r="K188" s="14" t="s">
        <v>877</v>
      </c>
    </row>
    <row r="189" spans="1:11" hidden="1" x14ac:dyDescent="0.25">
      <c r="A189" s="774">
        <v>56212</v>
      </c>
      <c r="B189" s="774">
        <v>1487</v>
      </c>
      <c r="C189" s="774">
        <v>100</v>
      </c>
      <c r="D189" s="774">
        <v>2100</v>
      </c>
      <c r="E189" s="774" t="s">
        <v>1395</v>
      </c>
      <c r="F189" s="774" t="s">
        <v>1432</v>
      </c>
      <c r="G189" s="777">
        <v>141.47999999999999</v>
      </c>
      <c r="H189" s="14" t="s">
        <v>974</v>
      </c>
      <c r="I189" s="14" t="s">
        <v>875</v>
      </c>
      <c r="J189" s="14" t="s">
        <v>884</v>
      </c>
      <c r="K189" s="14" t="s">
        <v>877</v>
      </c>
    </row>
    <row r="190" spans="1:11" hidden="1" x14ac:dyDescent="0.25">
      <c r="A190" s="774">
        <v>56212</v>
      </c>
      <c r="B190" s="774">
        <v>1534</v>
      </c>
      <c r="C190" s="774">
        <v>400</v>
      </c>
      <c r="D190" s="774">
        <v>2700</v>
      </c>
      <c r="E190" s="774" t="s">
        <v>1395</v>
      </c>
      <c r="F190" s="774" t="s">
        <v>1432</v>
      </c>
      <c r="G190" s="777">
        <v>6.29</v>
      </c>
      <c r="H190" s="14" t="s">
        <v>978</v>
      </c>
      <c r="I190" s="14" t="s">
        <v>895</v>
      </c>
      <c r="J190" s="14" t="s">
        <v>916</v>
      </c>
      <c r="K190" s="14" t="s">
        <v>877</v>
      </c>
    </row>
    <row r="191" spans="1:11" hidden="1" x14ac:dyDescent="0.25">
      <c r="A191" s="774">
        <v>56212</v>
      </c>
      <c r="B191" s="774">
        <v>1737</v>
      </c>
      <c r="C191" s="774">
        <v>620</v>
      </c>
      <c r="D191" s="774">
        <v>1000</v>
      </c>
      <c r="E191" s="774" t="s">
        <v>1395</v>
      </c>
      <c r="F191" s="774" t="s">
        <v>1432</v>
      </c>
      <c r="G191" s="777">
        <v>2.66</v>
      </c>
      <c r="H191" s="14" t="s">
        <v>978</v>
      </c>
      <c r="I191" s="14" t="s">
        <v>923</v>
      </c>
      <c r="J191" s="14" t="s">
        <v>876</v>
      </c>
      <c r="K191" s="14" t="s">
        <v>877</v>
      </c>
    </row>
    <row r="192" spans="1:11" hidden="1" x14ac:dyDescent="0.25">
      <c r="A192" s="774">
        <v>56212</v>
      </c>
      <c r="B192" s="774">
        <v>1767</v>
      </c>
      <c r="C192" s="774">
        <v>620</v>
      </c>
      <c r="D192" s="774">
        <v>1000</v>
      </c>
      <c r="E192" s="774" t="s">
        <v>1395</v>
      </c>
      <c r="F192" s="774" t="s">
        <v>1432</v>
      </c>
      <c r="G192" s="777">
        <v>2.46</v>
      </c>
      <c r="H192" s="14" t="s">
        <v>978</v>
      </c>
      <c r="I192" s="14" t="s">
        <v>923</v>
      </c>
      <c r="J192" s="14" t="s">
        <v>876</v>
      </c>
      <c r="K192" s="14" t="s">
        <v>877</v>
      </c>
    </row>
    <row r="193" spans="1:11" hidden="1" x14ac:dyDescent="0.25">
      <c r="A193" s="774">
        <v>56212</v>
      </c>
      <c r="B193" s="774">
        <v>1805</v>
      </c>
      <c r="C193" s="774">
        <v>615</v>
      </c>
      <c r="D193" s="774">
        <v>1000</v>
      </c>
      <c r="E193" s="774" t="s">
        <v>1395</v>
      </c>
      <c r="F193" s="774" t="s">
        <v>1432</v>
      </c>
      <c r="G193" s="777">
        <v>1.72</v>
      </c>
      <c r="H193" s="14" t="s">
        <v>978</v>
      </c>
      <c r="I193" s="14" t="s">
        <v>919</v>
      </c>
      <c r="J193" s="14" t="s">
        <v>876</v>
      </c>
      <c r="K193" s="14" t="s">
        <v>877</v>
      </c>
    </row>
    <row r="194" spans="1:11" hidden="1" x14ac:dyDescent="0.25">
      <c r="A194" s="774">
        <v>56212</v>
      </c>
      <c r="B194" s="774">
        <v>1858</v>
      </c>
      <c r="C194" s="774">
        <v>615</v>
      </c>
      <c r="D194" s="774">
        <v>1000</v>
      </c>
      <c r="E194" s="774" t="s">
        <v>1395</v>
      </c>
      <c r="F194" s="774" t="s">
        <v>1432</v>
      </c>
      <c r="G194" s="777">
        <v>1.82</v>
      </c>
      <c r="H194" s="14" t="s">
        <v>978</v>
      </c>
      <c r="I194" s="14" t="s">
        <v>919</v>
      </c>
      <c r="J194" s="14" t="s">
        <v>876</v>
      </c>
      <c r="K194" s="14" t="s">
        <v>877</v>
      </c>
    </row>
    <row r="195" spans="1:11" hidden="1" x14ac:dyDescent="0.25">
      <c r="A195" s="774">
        <v>56212</v>
      </c>
      <c r="B195" s="774">
        <v>1910</v>
      </c>
      <c r="C195" s="774">
        <v>615</v>
      </c>
      <c r="D195" s="774">
        <v>1000</v>
      </c>
      <c r="E195" s="774" t="s">
        <v>1395</v>
      </c>
      <c r="F195" s="774" t="s">
        <v>1432</v>
      </c>
      <c r="G195" s="777">
        <v>1.4</v>
      </c>
      <c r="H195" s="14" t="s">
        <v>978</v>
      </c>
      <c r="I195" s="14" t="s">
        <v>919</v>
      </c>
      <c r="J195" s="14" t="s">
        <v>876</v>
      </c>
      <c r="K195" s="14" t="s">
        <v>877</v>
      </c>
    </row>
    <row r="196" spans="1:11" hidden="1" x14ac:dyDescent="0.25">
      <c r="A196" s="774">
        <v>56213</v>
      </c>
      <c r="B196" s="774">
        <v>1000</v>
      </c>
      <c r="C196" s="774">
        <v>100</v>
      </c>
      <c r="D196" s="774">
        <v>1000</v>
      </c>
      <c r="E196" s="774" t="s">
        <v>1395</v>
      </c>
      <c r="F196" s="774" t="s">
        <v>1433</v>
      </c>
      <c r="G196" s="777">
        <v>881.98</v>
      </c>
      <c r="H196" s="14" t="s">
        <v>871</v>
      </c>
      <c r="I196" s="14" t="s">
        <v>875</v>
      </c>
      <c r="J196" s="14" t="s">
        <v>876</v>
      </c>
      <c r="K196" s="14" t="s">
        <v>877</v>
      </c>
    </row>
    <row r="197" spans="1:11" hidden="1" x14ac:dyDescent="0.25">
      <c r="A197" s="774">
        <v>56213</v>
      </c>
      <c r="B197" s="774">
        <v>1000</v>
      </c>
      <c r="C197" s="774">
        <v>100</v>
      </c>
      <c r="D197" s="774">
        <v>2100</v>
      </c>
      <c r="E197" s="774" t="s">
        <v>1395</v>
      </c>
      <c r="F197" s="774" t="s">
        <v>1433</v>
      </c>
      <c r="G197" s="777">
        <v>137.19</v>
      </c>
      <c r="H197" s="14" t="s">
        <v>871</v>
      </c>
      <c r="I197" s="14" t="s">
        <v>875</v>
      </c>
      <c r="J197" s="14" t="s">
        <v>884</v>
      </c>
      <c r="K197" s="14" t="s">
        <v>877</v>
      </c>
    </row>
    <row r="198" spans="1:11" hidden="1" x14ac:dyDescent="0.25">
      <c r="A198" s="774">
        <v>56213</v>
      </c>
      <c r="B198" s="774">
        <v>1000</v>
      </c>
      <c r="C198" s="774">
        <v>100</v>
      </c>
      <c r="D198" s="774">
        <v>2110</v>
      </c>
      <c r="E198" s="774" t="s">
        <v>1395</v>
      </c>
      <c r="F198" s="774" t="s">
        <v>1433</v>
      </c>
      <c r="G198" s="777">
        <v>2.89</v>
      </c>
      <c r="H198" s="14" t="s">
        <v>871</v>
      </c>
      <c r="I198" s="14" t="s">
        <v>875</v>
      </c>
      <c r="J198" s="14" t="s">
        <v>884</v>
      </c>
      <c r="K198" s="14" t="s">
        <v>877</v>
      </c>
    </row>
    <row r="199" spans="1:11" hidden="1" x14ac:dyDescent="0.25">
      <c r="A199" s="774">
        <v>56213</v>
      </c>
      <c r="B199" s="774">
        <v>1000</v>
      </c>
      <c r="C199" s="774">
        <v>100</v>
      </c>
      <c r="D199" s="774">
        <v>2200</v>
      </c>
      <c r="E199" s="774" t="s">
        <v>1395</v>
      </c>
      <c r="F199" s="774" t="s">
        <v>1433</v>
      </c>
      <c r="G199" s="777">
        <v>23.28</v>
      </c>
      <c r="H199" s="14" t="s">
        <v>871</v>
      </c>
      <c r="I199" s="14" t="s">
        <v>875</v>
      </c>
      <c r="J199" s="14" t="s">
        <v>888</v>
      </c>
      <c r="K199" s="14" t="s">
        <v>877</v>
      </c>
    </row>
    <row r="200" spans="1:11" hidden="1" x14ac:dyDescent="0.25">
      <c r="A200" s="774">
        <v>56213</v>
      </c>
      <c r="B200" s="774">
        <v>1000</v>
      </c>
      <c r="C200" s="774">
        <v>100</v>
      </c>
      <c r="D200" s="774">
        <v>2300</v>
      </c>
      <c r="E200" s="774" t="s">
        <v>1395</v>
      </c>
      <c r="F200" s="774" t="s">
        <v>1433</v>
      </c>
      <c r="G200" s="777">
        <v>7.13</v>
      </c>
      <c r="H200" s="14" t="s">
        <v>871</v>
      </c>
      <c r="I200" s="14" t="s">
        <v>875</v>
      </c>
      <c r="J200" s="14" t="s">
        <v>900</v>
      </c>
      <c r="K200" s="14" t="s">
        <v>877</v>
      </c>
    </row>
    <row r="201" spans="1:11" hidden="1" x14ac:dyDescent="0.25">
      <c r="A201" s="774">
        <v>56213</v>
      </c>
      <c r="B201" s="774">
        <v>1000</v>
      </c>
      <c r="C201" s="774">
        <v>100</v>
      </c>
      <c r="D201" s="774">
        <v>2310</v>
      </c>
      <c r="E201" s="774" t="s">
        <v>1395</v>
      </c>
      <c r="F201" s="774" t="s">
        <v>1433</v>
      </c>
      <c r="G201" s="777">
        <v>1.1299999999999999</v>
      </c>
      <c r="H201" s="14" t="s">
        <v>871</v>
      </c>
      <c r="I201" s="14" t="s">
        <v>875</v>
      </c>
      <c r="J201" s="14" t="s">
        <v>900</v>
      </c>
      <c r="K201" s="14" t="s">
        <v>877</v>
      </c>
    </row>
    <row r="202" spans="1:11" hidden="1" x14ac:dyDescent="0.25">
      <c r="A202" s="774">
        <v>56213</v>
      </c>
      <c r="B202" s="774">
        <v>1000</v>
      </c>
      <c r="C202" s="774">
        <v>100</v>
      </c>
      <c r="D202" s="774">
        <v>2400</v>
      </c>
      <c r="E202" s="774" t="s">
        <v>1395</v>
      </c>
      <c r="F202" s="774" t="s">
        <v>1433</v>
      </c>
      <c r="G202" s="777">
        <v>29.93</v>
      </c>
      <c r="H202" s="14" t="s">
        <v>871</v>
      </c>
      <c r="I202" s="14" t="s">
        <v>875</v>
      </c>
      <c r="J202" s="14" t="s">
        <v>904</v>
      </c>
      <c r="K202" s="14" t="s">
        <v>877</v>
      </c>
    </row>
    <row r="203" spans="1:11" hidden="1" x14ac:dyDescent="0.25">
      <c r="A203" s="774">
        <v>56213</v>
      </c>
      <c r="B203" s="774">
        <v>1000</v>
      </c>
      <c r="C203" s="774">
        <v>100</v>
      </c>
      <c r="D203" s="774">
        <v>2410</v>
      </c>
      <c r="E203" s="774" t="s">
        <v>1395</v>
      </c>
      <c r="F203" s="774" t="s">
        <v>1433</v>
      </c>
      <c r="G203" s="777">
        <v>3.21</v>
      </c>
      <c r="H203" s="14" t="s">
        <v>871</v>
      </c>
      <c r="I203" s="14" t="s">
        <v>875</v>
      </c>
      <c r="J203" s="14" t="s">
        <v>904</v>
      </c>
      <c r="K203" s="14" t="s">
        <v>877</v>
      </c>
    </row>
    <row r="204" spans="1:11" hidden="1" x14ac:dyDescent="0.25">
      <c r="A204" s="774">
        <v>56213</v>
      </c>
      <c r="B204" s="774">
        <v>1000</v>
      </c>
      <c r="C204" s="774">
        <v>100</v>
      </c>
      <c r="D204" s="774">
        <v>2500</v>
      </c>
      <c r="E204" s="774" t="s">
        <v>1395</v>
      </c>
      <c r="F204" s="774" t="s">
        <v>1433</v>
      </c>
      <c r="G204" s="777">
        <v>195.92</v>
      </c>
      <c r="H204" s="14" t="s">
        <v>871</v>
      </c>
      <c r="I204" s="14" t="s">
        <v>875</v>
      </c>
      <c r="J204" s="14" t="s">
        <v>908</v>
      </c>
      <c r="K204" s="14" t="s">
        <v>877</v>
      </c>
    </row>
    <row r="205" spans="1:11" hidden="1" x14ac:dyDescent="0.25">
      <c r="A205" s="774">
        <v>56213</v>
      </c>
      <c r="B205" s="774">
        <v>1000</v>
      </c>
      <c r="C205" s="774">
        <v>100</v>
      </c>
      <c r="D205" s="774">
        <v>2510</v>
      </c>
      <c r="E205" s="774" t="s">
        <v>1395</v>
      </c>
      <c r="F205" s="774" t="s">
        <v>1433</v>
      </c>
      <c r="G205" s="777">
        <v>3.66</v>
      </c>
      <c r="H205" s="14" t="s">
        <v>871</v>
      </c>
      <c r="I205" s="14" t="s">
        <v>875</v>
      </c>
      <c r="J205" s="14" t="s">
        <v>908</v>
      </c>
      <c r="K205" s="14" t="s">
        <v>877</v>
      </c>
    </row>
    <row r="206" spans="1:11" hidden="1" x14ac:dyDescent="0.25">
      <c r="A206" s="774">
        <v>56213</v>
      </c>
      <c r="B206" s="774">
        <v>1000</v>
      </c>
      <c r="C206" s="774">
        <v>100</v>
      </c>
      <c r="D206" s="774">
        <v>2600</v>
      </c>
      <c r="E206" s="774" t="s">
        <v>1395</v>
      </c>
      <c r="F206" s="774" t="s">
        <v>1433</v>
      </c>
      <c r="G206" s="777">
        <v>22.14</v>
      </c>
      <c r="H206" s="14" t="s">
        <v>871</v>
      </c>
      <c r="I206" s="14" t="s">
        <v>875</v>
      </c>
      <c r="J206" s="14" t="s">
        <v>912</v>
      </c>
      <c r="K206" s="14" t="s">
        <v>877</v>
      </c>
    </row>
    <row r="207" spans="1:11" hidden="1" x14ac:dyDescent="0.25">
      <c r="A207" s="774">
        <v>56213</v>
      </c>
      <c r="B207" s="774">
        <v>1000</v>
      </c>
      <c r="C207" s="774">
        <v>100</v>
      </c>
      <c r="D207" s="774">
        <v>2700</v>
      </c>
      <c r="E207" s="774" t="s">
        <v>1395</v>
      </c>
      <c r="F207" s="774" t="s">
        <v>1433</v>
      </c>
      <c r="G207" s="777">
        <v>0.01</v>
      </c>
      <c r="H207" s="14" t="s">
        <v>871</v>
      </c>
      <c r="I207" s="14" t="s">
        <v>875</v>
      </c>
      <c r="J207" s="14" t="s">
        <v>916</v>
      </c>
      <c r="K207" s="14" t="s">
        <v>877</v>
      </c>
    </row>
    <row r="208" spans="1:11" hidden="1" x14ac:dyDescent="0.25">
      <c r="A208" s="774">
        <v>56213</v>
      </c>
      <c r="B208" s="774">
        <v>1000</v>
      </c>
      <c r="C208" s="774">
        <v>200</v>
      </c>
      <c r="D208" s="774">
        <v>1000</v>
      </c>
      <c r="E208" s="774" t="s">
        <v>1395</v>
      </c>
      <c r="F208" s="774" t="s">
        <v>1433</v>
      </c>
      <c r="G208" s="777">
        <v>188.1</v>
      </c>
      <c r="H208" s="14" t="s">
        <v>871</v>
      </c>
      <c r="I208" s="14" t="s">
        <v>879</v>
      </c>
      <c r="J208" s="14" t="s">
        <v>876</v>
      </c>
      <c r="K208" s="14" t="s">
        <v>877</v>
      </c>
    </row>
    <row r="209" spans="1:11" hidden="1" x14ac:dyDescent="0.25">
      <c r="A209" s="774">
        <v>56213</v>
      </c>
      <c r="B209" s="774">
        <v>1000</v>
      </c>
      <c r="C209" s="774">
        <v>200</v>
      </c>
      <c r="D209" s="774">
        <v>2100</v>
      </c>
      <c r="E209" s="774" t="s">
        <v>1395</v>
      </c>
      <c r="F209" s="774" t="s">
        <v>1433</v>
      </c>
      <c r="G209" s="777">
        <v>54.7</v>
      </c>
      <c r="H209" s="14" t="s">
        <v>871</v>
      </c>
      <c r="I209" s="14" t="s">
        <v>879</v>
      </c>
      <c r="J209" s="14" t="s">
        <v>884</v>
      </c>
      <c r="K209" s="14" t="s">
        <v>877</v>
      </c>
    </row>
    <row r="210" spans="1:11" hidden="1" x14ac:dyDescent="0.25">
      <c r="A210" s="774">
        <v>56213</v>
      </c>
      <c r="B210" s="774">
        <v>1000</v>
      </c>
      <c r="C210" s="774">
        <v>240</v>
      </c>
      <c r="D210" s="774">
        <v>1000</v>
      </c>
      <c r="E210" s="774" t="s">
        <v>1395</v>
      </c>
      <c r="F210" s="774" t="s">
        <v>1433</v>
      </c>
      <c r="G210" s="777">
        <v>27.7</v>
      </c>
      <c r="H210" s="14" t="s">
        <v>871</v>
      </c>
      <c r="I210" s="14" t="s">
        <v>879</v>
      </c>
      <c r="J210" s="14" t="s">
        <v>876</v>
      </c>
      <c r="K210" s="14" t="s">
        <v>877</v>
      </c>
    </row>
    <row r="211" spans="1:11" hidden="1" x14ac:dyDescent="0.25">
      <c r="A211" s="774">
        <v>56213</v>
      </c>
      <c r="B211" s="774">
        <v>1000</v>
      </c>
      <c r="C211" s="774">
        <v>400</v>
      </c>
      <c r="D211" s="774">
        <v>2700</v>
      </c>
      <c r="E211" s="774" t="s">
        <v>1395</v>
      </c>
      <c r="F211" s="774" t="s">
        <v>1433</v>
      </c>
      <c r="G211" s="777">
        <v>0.53</v>
      </c>
      <c r="H211" s="14" t="s">
        <v>871</v>
      </c>
      <c r="I211" s="14" t="s">
        <v>895</v>
      </c>
      <c r="J211" s="14" t="s">
        <v>916</v>
      </c>
      <c r="K211" s="14" t="s">
        <v>877</v>
      </c>
    </row>
    <row r="212" spans="1:11" x14ac:dyDescent="0.25">
      <c r="A212" s="774">
        <v>56213</v>
      </c>
      <c r="B212" s="774">
        <v>1220</v>
      </c>
      <c r="C212" s="774">
        <v>200</v>
      </c>
      <c r="D212" s="774">
        <v>2100</v>
      </c>
      <c r="E212" s="774" t="s">
        <v>1395</v>
      </c>
      <c r="F212" s="774" t="s">
        <v>1433</v>
      </c>
      <c r="G212" s="777">
        <v>23.57</v>
      </c>
      <c r="H212" s="14" t="s">
        <v>914</v>
      </c>
      <c r="I212" s="14" t="s">
        <v>879</v>
      </c>
      <c r="J212" s="14" t="s">
        <v>884</v>
      </c>
      <c r="K212" s="14" t="s">
        <v>877</v>
      </c>
    </row>
    <row r="213" spans="1:11" hidden="1" x14ac:dyDescent="0.25">
      <c r="A213" s="774">
        <v>56213</v>
      </c>
      <c r="B213" s="774">
        <v>1487</v>
      </c>
      <c r="C213" s="774">
        <v>100</v>
      </c>
      <c r="D213" s="774">
        <v>2100</v>
      </c>
      <c r="E213" s="774" t="s">
        <v>1395</v>
      </c>
      <c r="F213" s="774" t="s">
        <v>1433</v>
      </c>
      <c r="G213" s="777">
        <v>55.41</v>
      </c>
      <c r="H213" s="14" t="s">
        <v>974</v>
      </c>
      <c r="I213" s="14" t="s">
        <v>875</v>
      </c>
      <c r="J213" s="14" t="s">
        <v>884</v>
      </c>
      <c r="K213" s="14" t="s">
        <v>877</v>
      </c>
    </row>
    <row r="214" spans="1:11" hidden="1" x14ac:dyDescent="0.25">
      <c r="A214" s="774">
        <v>56213</v>
      </c>
      <c r="B214" s="774">
        <v>1534</v>
      </c>
      <c r="C214" s="774">
        <v>400</v>
      </c>
      <c r="D214" s="774">
        <v>2700</v>
      </c>
      <c r="E214" s="774" t="s">
        <v>1395</v>
      </c>
      <c r="F214" s="774" t="s">
        <v>1433</v>
      </c>
      <c r="G214" s="777">
        <v>2.5099999999999998</v>
      </c>
      <c r="H214" s="14" t="s">
        <v>978</v>
      </c>
      <c r="I214" s="14" t="s">
        <v>895</v>
      </c>
      <c r="J214" s="14" t="s">
        <v>916</v>
      </c>
      <c r="K214" s="14" t="s">
        <v>877</v>
      </c>
    </row>
    <row r="215" spans="1:11" hidden="1" x14ac:dyDescent="0.25">
      <c r="A215" s="774">
        <v>56213</v>
      </c>
      <c r="B215" s="774">
        <v>1737</v>
      </c>
      <c r="C215" s="774">
        <v>620</v>
      </c>
      <c r="D215" s="774">
        <v>1000</v>
      </c>
      <c r="E215" s="774" t="s">
        <v>1395</v>
      </c>
      <c r="F215" s="774" t="s">
        <v>1433</v>
      </c>
      <c r="G215" s="777">
        <v>1.04</v>
      </c>
      <c r="H215" s="14" t="s">
        <v>978</v>
      </c>
      <c r="I215" s="14" t="s">
        <v>923</v>
      </c>
      <c r="J215" s="14" t="s">
        <v>876</v>
      </c>
      <c r="K215" s="14" t="s">
        <v>877</v>
      </c>
    </row>
    <row r="216" spans="1:11" hidden="1" x14ac:dyDescent="0.25">
      <c r="A216" s="774">
        <v>56213</v>
      </c>
      <c r="B216" s="774">
        <v>1743</v>
      </c>
      <c r="C216" s="774">
        <v>620</v>
      </c>
      <c r="D216" s="774">
        <v>1000</v>
      </c>
      <c r="E216" s="774" t="s">
        <v>1395</v>
      </c>
      <c r="F216" s="774" t="s">
        <v>1433</v>
      </c>
      <c r="G216" s="777">
        <v>0.62</v>
      </c>
      <c r="H216" s="14" t="s">
        <v>978</v>
      </c>
      <c r="I216" s="14" t="s">
        <v>923</v>
      </c>
      <c r="J216" s="14" t="s">
        <v>876</v>
      </c>
      <c r="K216" s="14" t="s">
        <v>877</v>
      </c>
    </row>
    <row r="217" spans="1:11" hidden="1" x14ac:dyDescent="0.25">
      <c r="A217" s="774">
        <v>56213</v>
      </c>
      <c r="B217" s="774">
        <v>1767</v>
      </c>
      <c r="C217" s="774">
        <v>620</v>
      </c>
      <c r="D217" s="774">
        <v>1000</v>
      </c>
      <c r="E217" s="774" t="s">
        <v>1395</v>
      </c>
      <c r="F217" s="774" t="s">
        <v>1433</v>
      </c>
      <c r="G217" s="777">
        <v>0.96</v>
      </c>
      <c r="H217" s="14" t="s">
        <v>978</v>
      </c>
      <c r="I217" s="14" t="s">
        <v>923</v>
      </c>
      <c r="J217" s="14" t="s">
        <v>876</v>
      </c>
      <c r="K217" s="14" t="s">
        <v>877</v>
      </c>
    </row>
    <row r="218" spans="1:11" hidden="1" x14ac:dyDescent="0.25">
      <c r="A218" s="774">
        <v>56213</v>
      </c>
      <c r="B218" s="774">
        <v>1805</v>
      </c>
      <c r="C218" s="774">
        <v>615</v>
      </c>
      <c r="D218" s="774">
        <v>1000</v>
      </c>
      <c r="E218" s="774" t="s">
        <v>1395</v>
      </c>
      <c r="F218" s="774" t="s">
        <v>1433</v>
      </c>
      <c r="G218" s="777">
        <v>0.68</v>
      </c>
      <c r="H218" s="14" t="s">
        <v>978</v>
      </c>
      <c r="I218" s="14" t="s">
        <v>919</v>
      </c>
      <c r="J218" s="14" t="s">
        <v>876</v>
      </c>
      <c r="K218" s="14" t="s">
        <v>877</v>
      </c>
    </row>
    <row r="219" spans="1:11" hidden="1" x14ac:dyDescent="0.25">
      <c r="A219" s="774">
        <v>56213</v>
      </c>
      <c r="B219" s="774">
        <v>1858</v>
      </c>
      <c r="C219" s="774">
        <v>615</v>
      </c>
      <c r="D219" s="774">
        <v>1000</v>
      </c>
      <c r="E219" s="774" t="s">
        <v>1395</v>
      </c>
      <c r="F219" s="774" t="s">
        <v>1433</v>
      </c>
      <c r="G219" s="777">
        <v>0.72</v>
      </c>
      <c r="H219" s="14" t="s">
        <v>978</v>
      </c>
      <c r="I219" s="14" t="s">
        <v>919</v>
      </c>
      <c r="J219" s="14" t="s">
        <v>876</v>
      </c>
      <c r="K219" s="14" t="s">
        <v>877</v>
      </c>
    </row>
    <row r="220" spans="1:11" hidden="1" x14ac:dyDescent="0.25">
      <c r="A220" s="774">
        <v>56213</v>
      </c>
      <c r="B220" s="774">
        <v>1910</v>
      </c>
      <c r="C220" s="774">
        <v>615</v>
      </c>
      <c r="D220" s="774">
        <v>1000</v>
      </c>
      <c r="E220" s="774" t="s">
        <v>1395</v>
      </c>
      <c r="F220" s="774" t="s">
        <v>1433</v>
      </c>
      <c r="G220" s="777">
        <v>0.54</v>
      </c>
      <c r="H220" s="14" t="s">
        <v>978</v>
      </c>
      <c r="I220" s="14" t="s">
        <v>919</v>
      </c>
      <c r="J220" s="14" t="s">
        <v>876</v>
      </c>
      <c r="K220" s="14" t="s">
        <v>877</v>
      </c>
    </row>
    <row r="221" spans="1:11" hidden="1" x14ac:dyDescent="0.25">
      <c r="A221" s="774">
        <v>56214</v>
      </c>
      <c r="B221" s="774">
        <v>1000</v>
      </c>
      <c r="C221" s="774">
        <v>100</v>
      </c>
      <c r="D221" s="774">
        <v>1000</v>
      </c>
      <c r="E221" s="774" t="s">
        <v>1395</v>
      </c>
      <c r="F221" s="774" t="s">
        <v>1434</v>
      </c>
      <c r="G221" s="777">
        <v>352.46</v>
      </c>
      <c r="H221" s="14" t="s">
        <v>871</v>
      </c>
      <c r="I221" s="14" t="s">
        <v>875</v>
      </c>
      <c r="J221" s="14" t="s">
        <v>876</v>
      </c>
      <c r="K221" s="14" t="s">
        <v>877</v>
      </c>
    </row>
    <row r="222" spans="1:11" hidden="1" x14ac:dyDescent="0.25">
      <c r="A222" s="774">
        <v>56214</v>
      </c>
      <c r="B222" s="774">
        <v>1000</v>
      </c>
      <c r="C222" s="774">
        <v>100</v>
      </c>
      <c r="D222" s="774">
        <v>2100</v>
      </c>
      <c r="E222" s="774" t="s">
        <v>1395</v>
      </c>
      <c r="F222" s="774" t="s">
        <v>1434</v>
      </c>
      <c r="G222" s="777">
        <v>48.83</v>
      </c>
      <c r="H222" s="14" t="s">
        <v>871</v>
      </c>
      <c r="I222" s="14" t="s">
        <v>875</v>
      </c>
      <c r="J222" s="14" t="s">
        <v>884</v>
      </c>
      <c r="K222" s="14" t="s">
        <v>877</v>
      </c>
    </row>
    <row r="223" spans="1:11" hidden="1" x14ac:dyDescent="0.25">
      <c r="A223" s="774">
        <v>56214</v>
      </c>
      <c r="B223" s="774">
        <v>1000</v>
      </c>
      <c r="C223" s="774">
        <v>100</v>
      </c>
      <c r="D223" s="774">
        <v>2110</v>
      </c>
      <c r="E223" s="774" t="s">
        <v>1395</v>
      </c>
      <c r="F223" s="774" t="s">
        <v>1434</v>
      </c>
      <c r="G223" s="777">
        <v>0.91</v>
      </c>
      <c r="H223" s="14" t="s">
        <v>871</v>
      </c>
      <c r="I223" s="14" t="s">
        <v>875</v>
      </c>
      <c r="J223" s="14" t="s">
        <v>884</v>
      </c>
      <c r="K223" s="14" t="s">
        <v>877</v>
      </c>
    </row>
    <row r="224" spans="1:11" hidden="1" x14ac:dyDescent="0.25">
      <c r="A224" s="774">
        <v>56214</v>
      </c>
      <c r="B224" s="774">
        <v>1000</v>
      </c>
      <c r="C224" s="774">
        <v>100</v>
      </c>
      <c r="D224" s="774">
        <v>2200</v>
      </c>
      <c r="E224" s="774" t="s">
        <v>1395</v>
      </c>
      <c r="F224" s="774" t="s">
        <v>1434</v>
      </c>
      <c r="G224" s="777">
        <v>8.5500000000000007</v>
      </c>
      <c r="H224" s="14" t="s">
        <v>871</v>
      </c>
      <c r="I224" s="14" t="s">
        <v>875</v>
      </c>
      <c r="J224" s="14" t="s">
        <v>888</v>
      </c>
      <c r="K224" s="14" t="s">
        <v>877</v>
      </c>
    </row>
    <row r="225" spans="1:11" hidden="1" x14ac:dyDescent="0.25">
      <c r="A225" s="774">
        <v>56214</v>
      </c>
      <c r="B225" s="774">
        <v>1000</v>
      </c>
      <c r="C225" s="774">
        <v>100</v>
      </c>
      <c r="D225" s="774">
        <v>2300</v>
      </c>
      <c r="E225" s="774" t="s">
        <v>1395</v>
      </c>
      <c r="F225" s="774" t="s">
        <v>1434</v>
      </c>
      <c r="G225" s="777">
        <v>2.4700000000000002</v>
      </c>
      <c r="H225" s="14" t="s">
        <v>871</v>
      </c>
      <c r="I225" s="14" t="s">
        <v>875</v>
      </c>
      <c r="J225" s="14" t="s">
        <v>900</v>
      </c>
      <c r="K225" s="14" t="s">
        <v>877</v>
      </c>
    </row>
    <row r="226" spans="1:11" hidden="1" x14ac:dyDescent="0.25">
      <c r="A226" s="774">
        <v>56214</v>
      </c>
      <c r="B226" s="774">
        <v>1000</v>
      </c>
      <c r="C226" s="774">
        <v>100</v>
      </c>
      <c r="D226" s="774">
        <v>2310</v>
      </c>
      <c r="E226" s="774" t="s">
        <v>1395</v>
      </c>
      <c r="F226" s="774" t="s">
        <v>1434</v>
      </c>
      <c r="G226" s="777">
        <v>0.39</v>
      </c>
      <c r="H226" s="14" t="s">
        <v>871</v>
      </c>
      <c r="I226" s="14" t="s">
        <v>875</v>
      </c>
      <c r="J226" s="14" t="s">
        <v>900</v>
      </c>
      <c r="K226" s="14" t="s">
        <v>877</v>
      </c>
    </row>
    <row r="227" spans="1:11" hidden="1" x14ac:dyDescent="0.25">
      <c r="A227" s="774">
        <v>56214</v>
      </c>
      <c r="B227" s="774">
        <v>1000</v>
      </c>
      <c r="C227" s="774">
        <v>100</v>
      </c>
      <c r="D227" s="774">
        <v>2400</v>
      </c>
      <c r="E227" s="774" t="s">
        <v>1395</v>
      </c>
      <c r="F227" s="774" t="s">
        <v>1434</v>
      </c>
      <c r="G227" s="777">
        <v>14.36</v>
      </c>
      <c r="H227" s="14" t="s">
        <v>871</v>
      </c>
      <c r="I227" s="14" t="s">
        <v>875</v>
      </c>
      <c r="J227" s="14" t="s">
        <v>904</v>
      </c>
      <c r="K227" s="14" t="s">
        <v>877</v>
      </c>
    </row>
    <row r="228" spans="1:11" hidden="1" x14ac:dyDescent="0.25">
      <c r="A228" s="774">
        <v>56214</v>
      </c>
      <c r="B228" s="774">
        <v>1000</v>
      </c>
      <c r="C228" s="774">
        <v>100</v>
      </c>
      <c r="D228" s="774">
        <v>2410</v>
      </c>
      <c r="E228" s="774" t="s">
        <v>1395</v>
      </c>
      <c r="F228" s="774" t="s">
        <v>1434</v>
      </c>
      <c r="G228" s="777">
        <v>1.08</v>
      </c>
      <c r="H228" s="14" t="s">
        <v>871</v>
      </c>
      <c r="I228" s="14" t="s">
        <v>875</v>
      </c>
      <c r="J228" s="14" t="s">
        <v>904</v>
      </c>
      <c r="K228" s="14" t="s">
        <v>877</v>
      </c>
    </row>
    <row r="229" spans="1:11" hidden="1" x14ac:dyDescent="0.25">
      <c r="A229" s="774">
        <v>56214</v>
      </c>
      <c r="B229" s="774">
        <v>1000</v>
      </c>
      <c r="C229" s="774">
        <v>100</v>
      </c>
      <c r="D229" s="774">
        <v>2500</v>
      </c>
      <c r="E229" s="774" t="s">
        <v>1395</v>
      </c>
      <c r="F229" s="774" t="s">
        <v>1434</v>
      </c>
      <c r="G229" s="777">
        <v>56.62</v>
      </c>
      <c r="H229" s="14" t="s">
        <v>871</v>
      </c>
      <c r="I229" s="14" t="s">
        <v>875</v>
      </c>
      <c r="J229" s="14" t="s">
        <v>908</v>
      </c>
      <c r="K229" s="14" t="s">
        <v>877</v>
      </c>
    </row>
    <row r="230" spans="1:11" hidden="1" x14ac:dyDescent="0.25">
      <c r="A230" s="774">
        <v>56214</v>
      </c>
      <c r="B230" s="774">
        <v>1000</v>
      </c>
      <c r="C230" s="774">
        <v>100</v>
      </c>
      <c r="D230" s="774">
        <v>2510</v>
      </c>
      <c r="E230" s="774" t="s">
        <v>1395</v>
      </c>
      <c r="F230" s="774" t="s">
        <v>1434</v>
      </c>
      <c r="G230" s="777">
        <v>1.26</v>
      </c>
      <c r="H230" s="14" t="s">
        <v>871</v>
      </c>
      <c r="I230" s="14" t="s">
        <v>875</v>
      </c>
      <c r="J230" s="14" t="s">
        <v>908</v>
      </c>
      <c r="K230" s="14" t="s">
        <v>877</v>
      </c>
    </row>
    <row r="231" spans="1:11" hidden="1" x14ac:dyDescent="0.25">
      <c r="A231" s="774">
        <v>56214</v>
      </c>
      <c r="B231" s="774">
        <v>1000</v>
      </c>
      <c r="C231" s="774">
        <v>100</v>
      </c>
      <c r="D231" s="774">
        <v>2600</v>
      </c>
      <c r="E231" s="774" t="s">
        <v>1395</v>
      </c>
      <c r="F231" s="774" t="s">
        <v>1434</v>
      </c>
      <c r="G231" s="777">
        <v>7.64</v>
      </c>
      <c r="H231" s="14" t="s">
        <v>871</v>
      </c>
      <c r="I231" s="14" t="s">
        <v>875</v>
      </c>
      <c r="J231" s="14" t="s">
        <v>912</v>
      </c>
      <c r="K231" s="14" t="s">
        <v>877</v>
      </c>
    </row>
    <row r="232" spans="1:11" hidden="1" x14ac:dyDescent="0.25">
      <c r="A232" s="774">
        <v>56214</v>
      </c>
      <c r="B232" s="774">
        <v>1000</v>
      </c>
      <c r="C232" s="774">
        <v>200</v>
      </c>
      <c r="D232" s="774">
        <v>1000</v>
      </c>
      <c r="E232" s="774" t="s">
        <v>1395</v>
      </c>
      <c r="F232" s="774" t="s">
        <v>1434</v>
      </c>
      <c r="G232" s="777">
        <v>82.74</v>
      </c>
      <c r="H232" s="14" t="s">
        <v>871</v>
      </c>
      <c r="I232" s="14" t="s">
        <v>879</v>
      </c>
      <c r="J232" s="14" t="s">
        <v>876</v>
      </c>
      <c r="K232" s="14" t="s">
        <v>877</v>
      </c>
    </row>
    <row r="233" spans="1:11" hidden="1" x14ac:dyDescent="0.25">
      <c r="A233" s="774">
        <v>56214</v>
      </c>
      <c r="B233" s="774">
        <v>1000</v>
      </c>
      <c r="C233" s="774">
        <v>200</v>
      </c>
      <c r="D233" s="774">
        <v>2100</v>
      </c>
      <c r="E233" s="774" t="s">
        <v>1395</v>
      </c>
      <c r="F233" s="774" t="s">
        <v>1434</v>
      </c>
      <c r="G233" s="777">
        <v>19.03</v>
      </c>
      <c r="H233" s="14" t="s">
        <v>871</v>
      </c>
      <c r="I233" s="14" t="s">
        <v>879</v>
      </c>
      <c r="J233" s="14" t="s">
        <v>884</v>
      </c>
      <c r="K233" s="14" t="s">
        <v>877</v>
      </c>
    </row>
    <row r="234" spans="1:11" hidden="1" x14ac:dyDescent="0.25">
      <c r="A234" s="774">
        <v>56214</v>
      </c>
      <c r="B234" s="774">
        <v>1000</v>
      </c>
      <c r="C234" s="774">
        <v>240</v>
      </c>
      <c r="D234" s="774">
        <v>1000</v>
      </c>
      <c r="E234" s="774" t="s">
        <v>1395</v>
      </c>
      <c r="F234" s="774" t="s">
        <v>1434</v>
      </c>
      <c r="G234" s="777">
        <v>9.51</v>
      </c>
      <c r="H234" s="14" t="s">
        <v>871</v>
      </c>
      <c r="I234" s="14" t="s">
        <v>879</v>
      </c>
      <c r="J234" s="14" t="s">
        <v>876</v>
      </c>
      <c r="K234" s="14" t="s">
        <v>877</v>
      </c>
    </row>
    <row r="235" spans="1:11" hidden="1" x14ac:dyDescent="0.25">
      <c r="A235" s="774">
        <v>56214</v>
      </c>
      <c r="B235" s="774">
        <v>1000</v>
      </c>
      <c r="C235" s="774">
        <v>400</v>
      </c>
      <c r="D235" s="774">
        <v>2700</v>
      </c>
      <c r="E235" s="774" t="s">
        <v>1395</v>
      </c>
      <c r="F235" s="774" t="s">
        <v>1434</v>
      </c>
      <c r="G235" s="777">
        <v>0.19</v>
      </c>
      <c r="H235" s="14" t="s">
        <v>871</v>
      </c>
      <c r="I235" s="14" t="s">
        <v>895</v>
      </c>
      <c r="J235" s="14" t="s">
        <v>916</v>
      </c>
      <c r="K235" s="14" t="s">
        <v>877</v>
      </c>
    </row>
    <row r="236" spans="1:11" hidden="1" x14ac:dyDescent="0.25">
      <c r="A236" s="774">
        <v>56214</v>
      </c>
      <c r="B236" s="774">
        <v>1000</v>
      </c>
      <c r="C236" s="774">
        <v>620</v>
      </c>
      <c r="D236" s="774">
        <v>2100</v>
      </c>
      <c r="E236" s="774" t="s">
        <v>1395</v>
      </c>
      <c r="F236" s="774" t="s">
        <v>1434</v>
      </c>
      <c r="G236" s="777">
        <v>0.17</v>
      </c>
      <c r="H236" s="14" t="s">
        <v>871</v>
      </c>
      <c r="I236" s="14" t="s">
        <v>923</v>
      </c>
      <c r="J236" s="14" t="s">
        <v>884</v>
      </c>
      <c r="K236" s="14" t="s">
        <v>877</v>
      </c>
    </row>
    <row r="237" spans="1:11" x14ac:dyDescent="0.25">
      <c r="A237" s="774">
        <v>56214</v>
      </c>
      <c r="B237" s="774">
        <v>1220</v>
      </c>
      <c r="C237" s="774">
        <v>200</v>
      </c>
      <c r="D237" s="774">
        <v>2100</v>
      </c>
      <c r="E237" s="774" t="s">
        <v>1395</v>
      </c>
      <c r="F237" s="774" t="s">
        <v>1434</v>
      </c>
      <c r="G237" s="777">
        <v>8.17</v>
      </c>
      <c r="H237" s="14" t="s">
        <v>914</v>
      </c>
      <c r="I237" s="14" t="s">
        <v>879</v>
      </c>
      <c r="J237" s="14" t="s">
        <v>884</v>
      </c>
      <c r="K237" s="14" t="s">
        <v>877</v>
      </c>
    </row>
    <row r="238" spans="1:11" hidden="1" x14ac:dyDescent="0.25">
      <c r="A238" s="774">
        <v>56214</v>
      </c>
      <c r="B238" s="774">
        <v>1487</v>
      </c>
      <c r="C238" s="774">
        <v>100</v>
      </c>
      <c r="D238" s="774">
        <v>2100</v>
      </c>
      <c r="E238" s="774" t="s">
        <v>1395</v>
      </c>
      <c r="F238" s="774" t="s">
        <v>1434</v>
      </c>
      <c r="G238" s="777">
        <v>19.16</v>
      </c>
      <c r="H238" s="14" t="s">
        <v>974</v>
      </c>
      <c r="I238" s="14" t="s">
        <v>875</v>
      </c>
      <c r="J238" s="14" t="s">
        <v>884</v>
      </c>
      <c r="K238" s="14" t="s">
        <v>877</v>
      </c>
    </row>
    <row r="239" spans="1:11" hidden="1" x14ac:dyDescent="0.25">
      <c r="A239" s="774">
        <v>56214</v>
      </c>
      <c r="B239" s="774">
        <v>1534</v>
      </c>
      <c r="C239" s="774">
        <v>400</v>
      </c>
      <c r="D239" s="774">
        <v>2700</v>
      </c>
      <c r="E239" s="774" t="s">
        <v>1395</v>
      </c>
      <c r="F239" s="774" t="s">
        <v>1434</v>
      </c>
      <c r="G239" s="777">
        <v>0.84</v>
      </c>
      <c r="H239" s="14" t="s">
        <v>978</v>
      </c>
      <c r="I239" s="14" t="s">
        <v>895</v>
      </c>
      <c r="J239" s="14" t="s">
        <v>916</v>
      </c>
      <c r="K239" s="14" t="s">
        <v>877</v>
      </c>
    </row>
    <row r="240" spans="1:11" hidden="1" x14ac:dyDescent="0.25">
      <c r="A240" s="774">
        <v>56214</v>
      </c>
      <c r="B240" s="774">
        <v>1737</v>
      </c>
      <c r="C240" s="774">
        <v>620</v>
      </c>
      <c r="D240" s="774">
        <v>1000</v>
      </c>
      <c r="E240" s="774" t="s">
        <v>1395</v>
      </c>
      <c r="F240" s="774" t="s">
        <v>1434</v>
      </c>
      <c r="G240" s="777">
        <v>0.36</v>
      </c>
      <c r="H240" s="14" t="s">
        <v>978</v>
      </c>
      <c r="I240" s="14" t="s">
        <v>923</v>
      </c>
      <c r="J240" s="14" t="s">
        <v>876</v>
      </c>
      <c r="K240" s="14" t="s">
        <v>877</v>
      </c>
    </row>
    <row r="241" spans="1:11" hidden="1" x14ac:dyDescent="0.25">
      <c r="A241" s="774">
        <v>56214</v>
      </c>
      <c r="B241" s="774">
        <v>1743</v>
      </c>
      <c r="C241" s="774">
        <v>620</v>
      </c>
      <c r="D241" s="774">
        <v>1000</v>
      </c>
      <c r="E241" s="774" t="s">
        <v>1395</v>
      </c>
      <c r="F241" s="774" t="s">
        <v>1434</v>
      </c>
      <c r="G241" s="777">
        <v>0.21</v>
      </c>
      <c r="H241" s="14" t="s">
        <v>978</v>
      </c>
      <c r="I241" s="14" t="s">
        <v>923</v>
      </c>
      <c r="J241" s="14" t="s">
        <v>876</v>
      </c>
      <c r="K241" s="14" t="s">
        <v>877</v>
      </c>
    </row>
    <row r="242" spans="1:11" hidden="1" x14ac:dyDescent="0.25">
      <c r="A242" s="774">
        <v>56214</v>
      </c>
      <c r="B242" s="774">
        <v>1751</v>
      </c>
      <c r="C242" s="774">
        <v>620</v>
      </c>
      <c r="D242" s="774">
        <v>1000</v>
      </c>
      <c r="E242" s="774" t="s">
        <v>1395</v>
      </c>
      <c r="F242" s="774" t="s">
        <v>1434</v>
      </c>
      <c r="G242" s="777">
        <v>0.17</v>
      </c>
      <c r="H242" s="14" t="s">
        <v>978</v>
      </c>
      <c r="I242" s="14" t="s">
        <v>923</v>
      </c>
      <c r="J242" s="14" t="s">
        <v>876</v>
      </c>
      <c r="K242" s="14" t="s">
        <v>877</v>
      </c>
    </row>
    <row r="243" spans="1:11" hidden="1" x14ac:dyDescent="0.25">
      <c r="A243" s="774">
        <v>56214</v>
      </c>
      <c r="B243" s="774">
        <v>1767</v>
      </c>
      <c r="C243" s="774">
        <v>620</v>
      </c>
      <c r="D243" s="774">
        <v>1000</v>
      </c>
      <c r="E243" s="774" t="s">
        <v>1395</v>
      </c>
      <c r="F243" s="774" t="s">
        <v>1434</v>
      </c>
      <c r="G243" s="777">
        <v>0.34</v>
      </c>
      <c r="H243" s="14" t="s">
        <v>978</v>
      </c>
      <c r="I243" s="14" t="s">
        <v>923</v>
      </c>
      <c r="J243" s="14" t="s">
        <v>876</v>
      </c>
      <c r="K243" s="14" t="s">
        <v>877</v>
      </c>
    </row>
    <row r="244" spans="1:11" hidden="1" x14ac:dyDescent="0.25">
      <c r="A244" s="774">
        <v>56214</v>
      </c>
      <c r="B244" s="774">
        <v>1805</v>
      </c>
      <c r="C244" s="774">
        <v>615</v>
      </c>
      <c r="D244" s="774">
        <v>1000</v>
      </c>
      <c r="E244" s="774" t="s">
        <v>1395</v>
      </c>
      <c r="F244" s="774" t="s">
        <v>1434</v>
      </c>
      <c r="G244" s="777">
        <v>0.24</v>
      </c>
      <c r="H244" s="14" t="s">
        <v>978</v>
      </c>
      <c r="I244" s="14" t="s">
        <v>919</v>
      </c>
      <c r="J244" s="14" t="s">
        <v>876</v>
      </c>
      <c r="K244" s="14" t="s">
        <v>877</v>
      </c>
    </row>
    <row r="245" spans="1:11" hidden="1" x14ac:dyDescent="0.25">
      <c r="A245" s="774">
        <v>56214</v>
      </c>
      <c r="B245" s="774">
        <v>1858</v>
      </c>
      <c r="C245" s="774">
        <v>615</v>
      </c>
      <c r="D245" s="774">
        <v>1000</v>
      </c>
      <c r="E245" s="774" t="s">
        <v>1395</v>
      </c>
      <c r="F245" s="774" t="s">
        <v>1434</v>
      </c>
      <c r="G245" s="777">
        <v>0.24</v>
      </c>
      <c r="H245" s="14" t="s">
        <v>978</v>
      </c>
      <c r="I245" s="14" t="s">
        <v>919</v>
      </c>
      <c r="J245" s="14" t="s">
        <v>876</v>
      </c>
      <c r="K245" s="14" t="s">
        <v>877</v>
      </c>
    </row>
    <row r="246" spans="1:11" hidden="1" x14ac:dyDescent="0.25">
      <c r="A246" s="774">
        <v>56214</v>
      </c>
      <c r="B246" s="774">
        <v>1910</v>
      </c>
      <c r="C246" s="774">
        <v>615</v>
      </c>
      <c r="D246" s="774">
        <v>1000</v>
      </c>
      <c r="E246" s="774" t="s">
        <v>1395</v>
      </c>
      <c r="F246" s="774" t="s">
        <v>1434</v>
      </c>
      <c r="G246" s="777">
        <v>0.18</v>
      </c>
      <c r="H246" s="14" t="s">
        <v>978</v>
      </c>
      <c r="I246" s="14" t="s">
        <v>919</v>
      </c>
      <c r="J246" s="14" t="s">
        <v>876</v>
      </c>
      <c r="K246" s="14" t="s">
        <v>877</v>
      </c>
    </row>
    <row r="247" spans="1:11" hidden="1" x14ac:dyDescent="0.25">
      <c r="A247" s="774">
        <v>56221</v>
      </c>
      <c r="B247" s="774">
        <v>1000</v>
      </c>
      <c r="C247" s="774">
        <v>100</v>
      </c>
      <c r="D247" s="774">
        <v>1000</v>
      </c>
      <c r="E247" s="774" t="s">
        <v>1395</v>
      </c>
      <c r="F247" s="774" t="s">
        <v>1435</v>
      </c>
      <c r="G247" s="777">
        <v>58069.37</v>
      </c>
      <c r="H247" s="14" t="s">
        <v>871</v>
      </c>
      <c r="I247" s="14" t="s">
        <v>875</v>
      </c>
      <c r="J247" s="14" t="s">
        <v>876</v>
      </c>
      <c r="K247" s="14" t="s">
        <v>877</v>
      </c>
    </row>
    <row r="248" spans="1:11" hidden="1" x14ac:dyDescent="0.25">
      <c r="A248" s="774">
        <v>56221</v>
      </c>
      <c r="B248" s="774">
        <v>1000</v>
      </c>
      <c r="C248" s="774">
        <v>100</v>
      </c>
      <c r="D248" s="774">
        <v>2100</v>
      </c>
      <c r="E248" s="774" t="s">
        <v>1395</v>
      </c>
      <c r="F248" s="774" t="s">
        <v>1435</v>
      </c>
      <c r="G248" s="777">
        <v>8572.0499999999993</v>
      </c>
      <c r="H248" s="14" t="s">
        <v>871</v>
      </c>
      <c r="I248" s="14" t="s">
        <v>875</v>
      </c>
      <c r="J248" s="14" t="s">
        <v>884</v>
      </c>
      <c r="K248" s="14" t="s">
        <v>877</v>
      </c>
    </row>
    <row r="249" spans="1:11" hidden="1" x14ac:dyDescent="0.25">
      <c r="A249" s="774">
        <v>56221</v>
      </c>
      <c r="B249" s="774">
        <v>1000</v>
      </c>
      <c r="C249" s="774">
        <v>100</v>
      </c>
      <c r="D249" s="774">
        <v>2110</v>
      </c>
      <c r="E249" s="774" t="s">
        <v>1395</v>
      </c>
      <c r="F249" s="774" t="s">
        <v>1435</v>
      </c>
      <c r="G249" s="777">
        <v>302.95</v>
      </c>
      <c r="H249" s="14" t="s">
        <v>871</v>
      </c>
      <c r="I249" s="14" t="s">
        <v>875</v>
      </c>
      <c r="J249" s="14" t="s">
        <v>884</v>
      </c>
      <c r="K249" s="14" t="s">
        <v>877</v>
      </c>
    </row>
    <row r="250" spans="1:11" hidden="1" x14ac:dyDescent="0.25">
      <c r="A250" s="774">
        <v>56221</v>
      </c>
      <c r="B250" s="774">
        <v>1000</v>
      </c>
      <c r="C250" s="774">
        <v>100</v>
      </c>
      <c r="D250" s="774">
        <v>2200</v>
      </c>
      <c r="E250" s="774" t="s">
        <v>1395</v>
      </c>
      <c r="F250" s="774" t="s">
        <v>1435</v>
      </c>
      <c r="G250" s="777">
        <v>2211.31</v>
      </c>
      <c r="H250" s="14" t="s">
        <v>871</v>
      </c>
      <c r="I250" s="14" t="s">
        <v>875</v>
      </c>
      <c r="J250" s="14" t="s">
        <v>888</v>
      </c>
      <c r="K250" s="14" t="s">
        <v>877</v>
      </c>
    </row>
    <row r="251" spans="1:11" hidden="1" x14ac:dyDescent="0.25">
      <c r="A251" s="774">
        <v>56221</v>
      </c>
      <c r="B251" s="774">
        <v>1000</v>
      </c>
      <c r="C251" s="774">
        <v>100</v>
      </c>
      <c r="D251" s="774">
        <v>2300</v>
      </c>
      <c r="E251" s="774" t="s">
        <v>1395</v>
      </c>
      <c r="F251" s="774" t="s">
        <v>1435</v>
      </c>
      <c r="G251" s="777">
        <v>1061.24</v>
      </c>
      <c r="H251" s="14" t="s">
        <v>871</v>
      </c>
      <c r="I251" s="14" t="s">
        <v>875</v>
      </c>
      <c r="J251" s="14" t="s">
        <v>900</v>
      </c>
      <c r="K251" s="14" t="s">
        <v>877</v>
      </c>
    </row>
    <row r="252" spans="1:11" hidden="1" x14ac:dyDescent="0.25">
      <c r="A252" s="774">
        <v>56221</v>
      </c>
      <c r="B252" s="774">
        <v>1000</v>
      </c>
      <c r="C252" s="774">
        <v>100</v>
      </c>
      <c r="D252" s="774">
        <v>2310</v>
      </c>
      <c r="E252" s="774" t="s">
        <v>1395</v>
      </c>
      <c r="F252" s="774" t="s">
        <v>1435</v>
      </c>
      <c r="G252" s="777">
        <v>52.42</v>
      </c>
      <c r="H252" s="14" t="s">
        <v>871</v>
      </c>
      <c r="I252" s="14" t="s">
        <v>875</v>
      </c>
      <c r="J252" s="14" t="s">
        <v>900</v>
      </c>
      <c r="K252" s="14" t="s">
        <v>877</v>
      </c>
    </row>
    <row r="253" spans="1:11" hidden="1" x14ac:dyDescent="0.25">
      <c r="A253" s="774">
        <v>56221</v>
      </c>
      <c r="B253" s="774">
        <v>1000</v>
      </c>
      <c r="C253" s="774">
        <v>100</v>
      </c>
      <c r="D253" s="774">
        <v>2400</v>
      </c>
      <c r="E253" s="774" t="s">
        <v>1395</v>
      </c>
      <c r="F253" s="774" t="s">
        <v>1435</v>
      </c>
      <c r="G253" s="777">
        <v>3373.19</v>
      </c>
      <c r="H253" s="14" t="s">
        <v>871</v>
      </c>
      <c r="I253" s="14" t="s">
        <v>875</v>
      </c>
      <c r="J253" s="14" t="s">
        <v>904</v>
      </c>
      <c r="K253" s="14" t="s">
        <v>877</v>
      </c>
    </row>
    <row r="254" spans="1:11" hidden="1" x14ac:dyDescent="0.25">
      <c r="A254" s="774">
        <v>56221</v>
      </c>
      <c r="B254" s="774">
        <v>1000</v>
      </c>
      <c r="C254" s="774">
        <v>100</v>
      </c>
      <c r="D254" s="774">
        <v>2410</v>
      </c>
      <c r="E254" s="774" t="s">
        <v>1395</v>
      </c>
      <c r="F254" s="774" t="s">
        <v>1435</v>
      </c>
      <c r="G254" s="777">
        <v>337.04</v>
      </c>
      <c r="H254" s="14" t="s">
        <v>871</v>
      </c>
      <c r="I254" s="14" t="s">
        <v>875</v>
      </c>
      <c r="J254" s="14" t="s">
        <v>904</v>
      </c>
      <c r="K254" s="14" t="s">
        <v>877</v>
      </c>
    </row>
    <row r="255" spans="1:11" hidden="1" x14ac:dyDescent="0.25">
      <c r="A255" s="774">
        <v>56221</v>
      </c>
      <c r="B255" s="774">
        <v>1000</v>
      </c>
      <c r="C255" s="774">
        <v>100</v>
      </c>
      <c r="D255" s="774">
        <v>2500</v>
      </c>
      <c r="E255" s="774" t="s">
        <v>1395</v>
      </c>
      <c r="F255" s="774" t="s">
        <v>1435</v>
      </c>
      <c r="G255" s="777">
        <v>14833.77</v>
      </c>
      <c r="H255" s="14" t="s">
        <v>871</v>
      </c>
      <c r="I255" s="14" t="s">
        <v>875</v>
      </c>
      <c r="J255" s="14" t="s">
        <v>908</v>
      </c>
      <c r="K255" s="14" t="s">
        <v>877</v>
      </c>
    </row>
    <row r="256" spans="1:11" hidden="1" x14ac:dyDescent="0.25">
      <c r="A256" s="774">
        <v>56221</v>
      </c>
      <c r="B256" s="774">
        <v>1000</v>
      </c>
      <c r="C256" s="774">
        <v>100</v>
      </c>
      <c r="D256" s="774">
        <v>2510</v>
      </c>
      <c r="E256" s="774" t="s">
        <v>1395</v>
      </c>
      <c r="F256" s="774" t="s">
        <v>1435</v>
      </c>
      <c r="G256" s="777">
        <v>491.9</v>
      </c>
      <c r="H256" s="14" t="s">
        <v>871</v>
      </c>
      <c r="I256" s="14" t="s">
        <v>875</v>
      </c>
      <c r="J256" s="14" t="s">
        <v>908</v>
      </c>
      <c r="K256" s="14" t="s">
        <v>877</v>
      </c>
    </row>
    <row r="257" spans="1:11" hidden="1" x14ac:dyDescent="0.25">
      <c r="A257" s="774">
        <v>56221</v>
      </c>
      <c r="B257" s="774">
        <v>1000</v>
      </c>
      <c r="C257" s="774">
        <v>100</v>
      </c>
      <c r="D257" s="774">
        <v>2600</v>
      </c>
      <c r="E257" s="774" t="s">
        <v>1395</v>
      </c>
      <c r="F257" s="774" t="s">
        <v>1435</v>
      </c>
      <c r="G257" s="777">
        <v>1378.92</v>
      </c>
      <c r="H257" s="14" t="s">
        <v>871</v>
      </c>
      <c r="I257" s="14" t="s">
        <v>875</v>
      </c>
      <c r="J257" s="14" t="s">
        <v>912</v>
      </c>
      <c r="K257" s="14" t="s">
        <v>877</v>
      </c>
    </row>
    <row r="258" spans="1:11" hidden="1" x14ac:dyDescent="0.25">
      <c r="A258" s="774">
        <v>56221</v>
      </c>
      <c r="B258" s="774">
        <v>1000</v>
      </c>
      <c r="C258" s="774">
        <v>100</v>
      </c>
      <c r="D258" s="774">
        <v>2700</v>
      </c>
      <c r="E258" s="774" t="s">
        <v>1395</v>
      </c>
      <c r="F258" s="774" t="s">
        <v>1435</v>
      </c>
      <c r="G258" s="777">
        <v>0.42</v>
      </c>
      <c r="H258" s="14" t="s">
        <v>871</v>
      </c>
      <c r="I258" s="14" t="s">
        <v>875</v>
      </c>
      <c r="J258" s="14" t="s">
        <v>916</v>
      </c>
      <c r="K258" s="14" t="s">
        <v>877</v>
      </c>
    </row>
    <row r="259" spans="1:11" hidden="1" x14ac:dyDescent="0.25">
      <c r="A259" s="774">
        <v>56221</v>
      </c>
      <c r="B259" s="774">
        <v>1000</v>
      </c>
      <c r="C259" s="774">
        <v>100</v>
      </c>
      <c r="D259" s="774">
        <v>3100</v>
      </c>
      <c r="E259" s="774" t="s">
        <v>1395</v>
      </c>
      <c r="F259" s="774" t="s">
        <v>1435</v>
      </c>
      <c r="G259" s="777">
        <v>2.2999999999999998</v>
      </c>
      <c r="H259" s="14" t="s">
        <v>871</v>
      </c>
      <c r="I259" s="14" t="s">
        <v>875</v>
      </c>
      <c r="J259" s="14" t="s">
        <v>924</v>
      </c>
      <c r="K259" s="14" t="s">
        <v>877</v>
      </c>
    </row>
    <row r="260" spans="1:11" hidden="1" x14ac:dyDescent="0.25">
      <c r="A260" s="774">
        <v>56221</v>
      </c>
      <c r="B260" s="774">
        <v>1000</v>
      </c>
      <c r="C260" s="774">
        <v>200</v>
      </c>
      <c r="D260" s="774">
        <v>1000</v>
      </c>
      <c r="E260" s="774" t="s">
        <v>1395</v>
      </c>
      <c r="F260" s="774" t="s">
        <v>1435</v>
      </c>
      <c r="G260" s="777">
        <v>13729.93</v>
      </c>
      <c r="H260" s="14" t="s">
        <v>871</v>
      </c>
      <c r="I260" s="14" t="s">
        <v>879</v>
      </c>
      <c r="J260" s="14" t="s">
        <v>876</v>
      </c>
      <c r="K260" s="14" t="s">
        <v>877</v>
      </c>
    </row>
    <row r="261" spans="1:11" hidden="1" x14ac:dyDescent="0.25">
      <c r="A261" s="774">
        <v>56221</v>
      </c>
      <c r="B261" s="774">
        <v>1000</v>
      </c>
      <c r="C261" s="774">
        <v>200</v>
      </c>
      <c r="D261" s="774">
        <v>2100</v>
      </c>
      <c r="E261" s="774" t="s">
        <v>1395</v>
      </c>
      <c r="F261" s="774" t="s">
        <v>1435</v>
      </c>
      <c r="G261" s="777">
        <v>4065.57</v>
      </c>
      <c r="H261" s="14" t="s">
        <v>871</v>
      </c>
      <c r="I261" s="14" t="s">
        <v>879</v>
      </c>
      <c r="J261" s="14" t="s">
        <v>884</v>
      </c>
      <c r="K261" s="14" t="s">
        <v>877</v>
      </c>
    </row>
    <row r="262" spans="1:11" hidden="1" x14ac:dyDescent="0.25">
      <c r="A262" s="774">
        <v>56221</v>
      </c>
      <c r="B262" s="774">
        <v>1000</v>
      </c>
      <c r="C262" s="774">
        <v>240</v>
      </c>
      <c r="D262" s="774">
        <v>1000</v>
      </c>
      <c r="E262" s="774" t="s">
        <v>1395</v>
      </c>
      <c r="F262" s="774" t="s">
        <v>1435</v>
      </c>
      <c r="G262" s="777">
        <v>2091.37</v>
      </c>
      <c r="H262" s="14" t="s">
        <v>871</v>
      </c>
      <c r="I262" s="14" t="s">
        <v>879</v>
      </c>
      <c r="J262" s="14" t="s">
        <v>876</v>
      </c>
      <c r="K262" s="14" t="s">
        <v>877</v>
      </c>
    </row>
    <row r="263" spans="1:11" hidden="1" x14ac:dyDescent="0.25">
      <c r="A263" s="774">
        <v>56221</v>
      </c>
      <c r="B263" s="774">
        <v>1000</v>
      </c>
      <c r="C263" s="774">
        <v>400</v>
      </c>
      <c r="D263" s="774">
        <v>2700</v>
      </c>
      <c r="E263" s="774" t="s">
        <v>1395</v>
      </c>
      <c r="F263" s="774" t="s">
        <v>1435</v>
      </c>
      <c r="G263" s="777">
        <v>54.97</v>
      </c>
      <c r="H263" s="14" t="s">
        <v>871</v>
      </c>
      <c r="I263" s="14" t="s">
        <v>895</v>
      </c>
      <c r="J263" s="14" t="s">
        <v>916</v>
      </c>
      <c r="K263" s="14" t="s">
        <v>877</v>
      </c>
    </row>
    <row r="264" spans="1:11" hidden="1" x14ac:dyDescent="0.25">
      <c r="A264" s="774">
        <v>56221</v>
      </c>
      <c r="B264" s="774">
        <v>1000</v>
      </c>
      <c r="C264" s="774">
        <v>615</v>
      </c>
      <c r="D264" s="774">
        <v>1000</v>
      </c>
      <c r="E264" s="774" t="s">
        <v>1395</v>
      </c>
      <c r="F264" s="774" t="s">
        <v>1435</v>
      </c>
      <c r="G264" s="777">
        <v>-11.01</v>
      </c>
      <c r="H264" s="14" t="s">
        <v>871</v>
      </c>
      <c r="I264" s="14" t="s">
        <v>919</v>
      </c>
      <c r="J264" s="14" t="s">
        <v>876</v>
      </c>
      <c r="K264" s="14" t="s">
        <v>877</v>
      </c>
    </row>
    <row r="265" spans="1:11" hidden="1" x14ac:dyDescent="0.25">
      <c r="A265" s="774">
        <v>56221</v>
      </c>
      <c r="B265" s="774">
        <v>1000</v>
      </c>
      <c r="C265" s="774">
        <v>620</v>
      </c>
      <c r="D265" s="774">
        <v>2100</v>
      </c>
      <c r="E265" s="774" t="s">
        <v>1395</v>
      </c>
      <c r="F265" s="774" t="s">
        <v>1435</v>
      </c>
      <c r="G265" s="777">
        <v>59.82</v>
      </c>
      <c r="H265" s="14" t="s">
        <v>871</v>
      </c>
      <c r="I265" s="14" t="s">
        <v>923</v>
      </c>
      <c r="J265" s="14" t="s">
        <v>884</v>
      </c>
      <c r="K265" s="14" t="s">
        <v>877</v>
      </c>
    </row>
    <row r="266" spans="1:11" hidden="1" x14ac:dyDescent="0.25">
      <c r="A266" s="774">
        <v>56221</v>
      </c>
      <c r="B266" s="774">
        <v>1012</v>
      </c>
      <c r="C266" s="774">
        <v>100</v>
      </c>
      <c r="D266" s="774">
        <v>1000</v>
      </c>
      <c r="E266" s="774" t="s">
        <v>1395</v>
      </c>
      <c r="F266" s="774" t="s">
        <v>1435</v>
      </c>
      <c r="G266" s="777">
        <v>14538.88</v>
      </c>
      <c r="H266" s="14" t="s">
        <v>872</v>
      </c>
      <c r="I266" s="14" t="s">
        <v>875</v>
      </c>
      <c r="J266" s="14" t="s">
        <v>876</v>
      </c>
      <c r="K266" s="14" t="s">
        <v>877</v>
      </c>
    </row>
    <row r="267" spans="1:11" hidden="1" x14ac:dyDescent="0.25">
      <c r="A267" s="774">
        <v>56221</v>
      </c>
      <c r="B267" s="774">
        <v>1012</v>
      </c>
      <c r="C267" s="774">
        <v>200</v>
      </c>
      <c r="D267" s="774">
        <v>2100</v>
      </c>
      <c r="E267" s="774" t="s">
        <v>1395</v>
      </c>
      <c r="F267" s="774" t="s">
        <v>1435</v>
      </c>
      <c r="G267" s="777">
        <v>883.5</v>
      </c>
      <c r="H267" s="14" t="s">
        <v>872</v>
      </c>
      <c r="I267" s="14" t="s">
        <v>879</v>
      </c>
      <c r="J267" s="14" t="s">
        <v>884</v>
      </c>
      <c r="K267" s="14" t="s">
        <v>877</v>
      </c>
    </row>
    <row r="268" spans="1:11" hidden="1" x14ac:dyDescent="0.25">
      <c r="A268" s="774">
        <v>56221</v>
      </c>
      <c r="B268" s="774">
        <v>1012</v>
      </c>
      <c r="C268" s="774">
        <v>240</v>
      </c>
      <c r="D268" s="774">
        <v>1000</v>
      </c>
      <c r="E268" s="774" t="s">
        <v>1395</v>
      </c>
      <c r="F268" s="774" t="s">
        <v>1435</v>
      </c>
      <c r="G268" s="777">
        <v>139.5</v>
      </c>
      <c r="H268" s="14" t="s">
        <v>872</v>
      </c>
      <c r="I268" s="14" t="s">
        <v>879</v>
      </c>
      <c r="J268" s="14" t="s">
        <v>876</v>
      </c>
      <c r="K268" s="14" t="s">
        <v>877</v>
      </c>
    </row>
    <row r="269" spans="1:11" x14ac:dyDescent="0.25">
      <c r="A269" s="774">
        <v>56221</v>
      </c>
      <c r="B269" s="774">
        <v>1220</v>
      </c>
      <c r="C269" s="774">
        <v>200</v>
      </c>
      <c r="D269" s="774">
        <v>2100</v>
      </c>
      <c r="E269" s="774" t="s">
        <v>1395</v>
      </c>
      <c r="F269" s="774" t="s">
        <v>1435</v>
      </c>
      <c r="G269" s="777">
        <v>2330.1999999999998</v>
      </c>
      <c r="H269" s="14" t="s">
        <v>914</v>
      </c>
      <c r="I269" s="14" t="s">
        <v>879</v>
      </c>
      <c r="J269" s="14" t="s">
        <v>884</v>
      </c>
      <c r="K269" s="14" t="s">
        <v>877</v>
      </c>
    </row>
    <row r="270" spans="1:11" hidden="1" x14ac:dyDescent="0.25">
      <c r="A270" s="774">
        <v>56221</v>
      </c>
      <c r="B270" s="774">
        <v>1487</v>
      </c>
      <c r="C270" s="774">
        <v>100</v>
      </c>
      <c r="D270" s="774">
        <v>2100</v>
      </c>
      <c r="E270" s="774" t="s">
        <v>1395</v>
      </c>
      <c r="F270" s="774" t="s">
        <v>1435</v>
      </c>
      <c r="G270" s="777">
        <v>3431.54</v>
      </c>
      <c r="H270" s="14" t="s">
        <v>974</v>
      </c>
      <c r="I270" s="14" t="s">
        <v>875</v>
      </c>
      <c r="J270" s="14" t="s">
        <v>884</v>
      </c>
      <c r="K270" s="14" t="s">
        <v>877</v>
      </c>
    </row>
    <row r="271" spans="1:11" hidden="1" x14ac:dyDescent="0.25">
      <c r="A271" s="774">
        <v>56221</v>
      </c>
      <c r="B271" s="774">
        <v>1534</v>
      </c>
      <c r="C271" s="774">
        <v>400</v>
      </c>
      <c r="D271" s="774">
        <v>2700</v>
      </c>
      <c r="E271" s="774" t="s">
        <v>1395</v>
      </c>
      <c r="F271" s="774" t="s">
        <v>1435</v>
      </c>
      <c r="G271" s="777">
        <v>185.41</v>
      </c>
      <c r="H271" s="14" t="s">
        <v>978</v>
      </c>
      <c r="I271" s="14" t="s">
        <v>895</v>
      </c>
      <c r="J271" s="14" t="s">
        <v>916</v>
      </c>
      <c r="K271" s="14" t="s">
        <v>877</v>
      </c>
    </row>
    <row r="272" spans="1:11" hidden="1" x14ac:dyDescent="0.25">
      <c r="A272" s="774">
        <v>56221</v>
      </c>
      <c r="B272" s="774">
        <v>1542</v>
      </c>
      <c r="C272" s="774">
        <v>100</v>
      </c>
      <c r="D272" s="774">
        <v>2100</v>
      </c>
      <c r="E272" s="774" t="s">
        <v>1395</v>
      </c>
      <c r="F272" s="774" t="s">
        <v>1435</v>
      </c>
      <c r="G272" s="777">
        <v>102.32</v>
      </c>
      <c r="H272" s="14" t="s">
        <v>978</v>
      </c>
      <c r="I272" s="14" t="s">
        <v>875</v>
      </c>
      <c r="J272" s="14" t="s">
        <v>884</v>
      </c>
      <c r="K272" s="14" t="s">
        <v>877</v>
      </c>
    </row>
    <row r="273" spans="1:11" hidden="1" x14ac:dyDescent="0.25">
      <c r="A273" s="774">
        <v>56221</v>
      </c>
      <c r="B273" s="774">
        <v>1542</v>
      </c>
      <c r="C273" s="774">
        <v>100</v>
      </c>
      <c r="D273" s="774">
        <v>2500</v>
      </c>
      <c r="E273" s="774" t="s">
        <v>1395</v>
      </c>
      <c r="F273" s="774" t="s">
        <v>1435</v>
      </c>
      <c r="G273" s="777">
        <v>89.95</v>
      </c>
      <c r="H273" s="14" t="s">
        <v>978</v>
      </c>
      <c r="I273" s="14" t="s">
        <v>875</v>
      </c>
      <c r="J273" s="14" t="s">
        <v>908</v>
      </c>
      <c r="K273" s="14" t="s">
        <v>877</v>
      </c>
    </row>
    <row r="274" spans="1:11" hidden="1" x14ac:dyDescent="0.25">
      <c r="A274" s="774">
        <v>56221</v>
      </c>
      <c r="B274" s="774">
        <v>1732</v>
      </c>
      <c r="C274" s="774">
        <v>620</v>
      </c>
      <c r="D274" s="774">
        <v>1000</v>
      </c>
      <c r="E274" s="774" t="s">
        <v>1395</v>
      </c>
      <c r="F274" s="774" t="s">
        <v>1435</v>
      </c>
      <c r="G274" s="777">
        <v>111.6</v>
      </c>
      <c r="H274" s="14" t="s">
        <v>978</v>
      </c>
      <c r="I274" s="14" t="s">
        <v>923</v>
      </c>
      <c r="J274" s="14" t="s">
        <v>876</v>
      </c>
      <c r="K274" s="14" t="s">
        <v>877</v>
      </c>
    </row>
    <row r="275" spans="1:11" hidden="1" x14ac:dyDescent="0.25">
      <c r="A275" s="774">
        <v>56221</v>
      </c>
      <c r="B275" s="774">
        <v>1737</v>
      </c>
      <c r="C275" s="774">
        <v>620</v>
      </c>
      <c r="D275" s="774">
        <v>1000</v>
      </c>
      <c r="E275" s="774" t="s">
        <v>1395</v>
      </c>
      <c r="F275" s="774" t="s">
        <v>1435</v>
      </c>
      <c r="G275" s="777">
        <v>200.45</v>
      </c>
      <c r="H275" s="14" t="s">
        <v>978</v>
      </c>
      <c r="I275" s="14" t="s">
        <v>923</v>
      </c>
      <c r="J275" s="14" t="s">
        <v>876</v>
      </c>
      <c r="K275" s="14" t="s">
        <v>877</v>
      </c>
    </row>
    <row r="276" spans="1:11" hidden="1" x14ac:dyDescent="0.25">
      <c r="A276" s="774">
        <v>56221</v>
      </c>
      <c r="B276" s="774">
        <v>1743</v>
      </c>
      <c r="C276" s="774">
        <v>620</v>
      </c>
      <c r="D276" s="774">
        <v>1000</v>
      </c>
      <c r="E276" s="774" t="s">
        <v>1395</v>
      </c>
      <c r="F276" s="774" t="s">
        <v>1435</v>
      </c>
      <c r="G276" s="777">
        <v>62</v>
      </c>
      <c r="H276" s="14" t="s">
        <v>978</v>
      </c>
      <c r="I276" s="14" t="s">
        <v>923</v>
      </c>
      <c r="J276" s="14" t="s">
        <v>876</v>
      </c>
      <c r="K276" s="14" t="s">
        <v>877</v>
      </c>
    </row>
    <row r="277" spans="1:11" hidden="1" x14ac:dyDescent="0.25">
      <c r="A277" s="774">
        <v>56221</v>
      </c>
      <c r="B277" s="774">
        <v>1745</v>
      </c>
      <c r="C277" s="774">
        <v>620</v>
      </c>
      <c r="D277" s="774">
        <v>1000</v>
      </c>
      <c r="E277" s="774" t="s">
        <v>1395</v>
      </c>
      <c r="F277" s="774" t="s">
        <v>1435</v>
      </c>
      <c r="G277" s="777">
        <v>111.6</v>
      </c>
      <c r="H277" s="14" t="s">
        <v>978</v>
      </c>
      <c r="I277" s="14" t="s">
        <v>923</v>
      </c>
      <c r="J277" s="14" t="s">
        <v>876</v>
      </c>
      <c r="K277" s="14" t="s">
        <v>877</v>
      </c>
    </row>
    <row r="278" spans="1:11" hidden="1" x14ac:dyDescent="0.25">
      <c r="A278" s="774">
        <v>56221</v>
      </c>
      <c r="B278" s="774">
        <v>1751</v>
      </c>
      <c r="C278" s="774">
        <v>620</v>
      </c>
      <c r="D278" s="774">
        <v>1000</v>
      </c>
      <c r="E278" s="774" t="s">
        <v>1395</v>
      </c>
      <c r="F278" s="774" t="s">
        <v>1435</v>
      </c>
      <c r="G278" s="777">
        <v>55.8</v>
      </c>
      <c r="H278" s="14" t="s">
        <v>978</v>
      </c>
      <c r="I278" s="14" t="s">
        <v>923</v>
      </c>
      <c r="J278" s="14" t="s">
        <v>876</v>
      </c>
      <c r="K278" s="14" t="s">
        <v>877</v>
      </c>
    </row>
    <row r="279" spans="1:11" hidden="1" x14ac:dyDescent="0.25">
      <c r="A279" s="774">
        <v>56221</v>
      </c>
      <c r="B279" s="774">
        <v>1767</v>
      </c>
      <c r="C279" s="774">
        <v>620</v>
      </c>
      <c r="D279" s="774">
        <v>1000</v>
      </c>
      <c r="E279" s="774" t="s">
        <v>1395</v>
      </c>
      <c r="F279" s="774" t="s">
        <v>1435</v>
      </c>
      <c r="G279" s="777">
        <v>220.8</v>
      </c>
      <c r="H279" s="14" t="s">
        <v>978</v>
      </c>
      <c r="I279" s="14" t="s">
        <v>923</v>
      </c>
      <c r="J279" s="14" t="s">
        <v>876</v>
      </c>
      <c r="K279" s="14" t="s">
        <v>877</v>
      </c>
    </row>
    <row r="280" spans="1:11" hidden="1" x14ac:dyDescent="0.25">
      <c r="A280" s="774">
        <v>56221</v>
      </c>
      <c r="B280" s="774">
        <v>1805</v>
      </c>
      <c r="C280" s="774">
        <v>615</v>
      </c>
      <c r="D280" s="774">
        <v>1000</v>
      </c>
      <c r="E280" s="774" t="s">
        <v>1395</v>
      </c>
      <c r="F280" s="774" t="s">
        <v>1435</v>
      </c>
      <c r="G280" s="777">
        <v>76.44</v>
      </c>
      <c r="H280" s="14" t="s">
        <v>978</v>
      </c>
      <c r="I280" s="14" t="s">
        <v>919</v>
      </c>
      <c r="J280" s="14" t="s">
        <v>876</v>
      </c>
      <c r="K280" s="14" t="s">
        <v>877</v>
      </c>
    </row>
    <row r="281" spans="1:11" hidden="1" x14ac:dyDescent="0.25">
      <c r="A281" s="774">
        <v>56221</v>
      </c>
      <c r="B281" s="774">
        <v>1858</v>
      </c>
      <c r="C281" s="774">
        <v>615</v>
      </c>
      <c r="D281" s="774">
        <v>1000</v>
      </c>
      <c r="E281" s="774" t="s">
        <v>1395</v>
      </c>
      <c r="F281" s="774" t="s">
        <v>1435</v>
      </c>
      <c r="G281" s="777">
        <v>82.07</v>
      </c>
      <c r="H281" s="14" t="s">
        <v>978</v>
      </c>
      <c r="I281" s="14" t="s">
        <v>919</v>
      </c>
      <c r="J281" s="14" t="s">
        <v>876</v>
      </c>
      <c r="K281" s="14" t="s">
        <v>877</v>
      </c>
    </row>
    <row r="282" spans="1:11" hidden="1" x14ac:dyDescent="0.25">
      <c r="A282" s="774">
        <v>56221</v>
      </c>
      <c r="B282" s="774">
        <v>1871</v>
      </c>
      <c r="C282" s="774">
        <v>920</v>
      </c>
      <c r="D282" s="774">
        <v>3300</v>
      </c>
      <c r="E282" s="774" t="s">
        <v>1395</v>
      </c>
      <c r="F282" s="774" t="s">
        <v>1435</v>
      </c>
      <c r="G282" s="777">
        <v>970.69</v>
      </c>
      <c r="H282" s="14" t="s">
        <v>978</v>
      </c>
      <c r="I282" s="14" t="s">
        <v>939</v>
      </c>
      <c r="J282" s="14" t="s">
        <v>928</v>
      </c>
      <c r="K282" s="14" t="s">
        <v>877</v>
      </c>
    </row>
    <row r="283" spans="1:11" hidden="1" x14ac:dyDescent="0.25">
      <c r="A283" s="774">
        <v>56221</v>
      </c>
      <c r="B283" s="774">
        <v>1910</v>
      </c>
      <c r="C283" s="774">
        <v>615</v>
      </c>
      <c r="D283" s="774">
        <v>1000</v>
      </c>
      <c r="E283" s="774" t="s">
        <v>1395</v>
      </c>
      <c r="F283" s="774" t="s">
        <v>1435</v>
      </c>
      <c r="G283" s="777">
        <v>37.380000000000003</v>
      </c>
      <c r="H283" s="14" t="s">
        <v>978</v>
      </c>
      <c r="I283" s="14" t="s">
        <v>919</v>
      </c>
      <c r="J283" s="14" t="s">
        <v>876</v>
      </c>
      <c r="K283" s="14" t="s">
        <v>877</v>
      </c>
    </row>
    <row r="284" spans="1:11" hidden="1" x14ac:dyDescent="0.25">
      <c r="A284" s="774">
        <v>56222</v>
      </c>
      <c r="B284" s="774">
        <v>1000</v>
      </c>
      <c r="C284" s="774">
        <v>100</v>
      </c>
      <c r="D284" s="774">
        <v>1000</v>
      </c>
      <c r="E284" s="774" t="s">
        <v>1395</v>
      </c>
      <c r="F284" s="774" t="s">
        <v>1436</v>
      </c>
      <c r="G284" s="777">
        <v>13580.62</v>
      </c>
      <c r="H284" s="14" t="s">
        <v>871</v>
      </c>
      <c r="I284" s="14" t="s">
        <v>875</v>
      </c>
      <c r="J284" s="14" t="s">
        <v>876</v>
      </c>
      <c r="K284" s="14" t="s">
        <v>877</v>
      </c>
    </row>
    <row r="285" spans="1:11" hidden="1" x14ac:dyDescent="0.25">
      <c r="A285" s="774">
        <v>56222</v>
      </c>
      <c r="B285" s="774">
        <v>1000</v>
      </c>
      <c r="C285" s="774">
        <v>100</v>
      </c>
      <c r="D285" s="774">
        <v>2100</v>
      </c>
      <c r="E285" s="774" t="s">
        <v>1395</v>
      </c>
      <c r="F285" s="774" t="s">
        <v>1436</v>
      </c>
      <c r="G285" s="777">
        <v>2005</v>
      </c>
      <c r="H285" s="14" t="s">
        <v>871</v>
      </c>
      <c r="I285" s="14" t="s">
        <v>875</v>
      </c>
      <c r="J285" s="14" t="s">
        <v>884</v>
      </c>
      <c r="K285" s="14" t="s">
        <v>877</v>
      </c>
    </row>
    <row r="286" spans="1:11" hidden="1" x14ac:dyDescent="0.25">
      <c r="A286" s="774">
        <v>56222</v>
      </c>
      <c r="B286" s="774">
        <v>1000</v>
      </c>
      <c r="C286" s="774">
        <v>100</v>
      </c>
      <c r="D286" s="774">
        <v>2110</v>
      </c>
      <c r="E286" s="774" t="s">
        <v>1395</v>
      </c>
      <c r="F286" s="774" t="s">
        <v>1436</v>
      </c>
      <c r="G286" s="777">
        <v>70.849999999999994</v>
      </c>
      <c r="H286" s="14" t="s">
        <v>871</v>
      </c>
      <c r="I286" s="14" t="s">
        <v>875</v>
      </c>
      <c r="J286" s="14" t="s">
        <v>884</v>
      </c>
      <c r="K286" s="14" t="s">
        <v>877</v>
      </c>
    </row>
    <row r="287" spans="1:11" hidden="1" x14ac:dyDescent="0.25">
      <c r="A287" s="774">
        <v>56222</v>
      </c>
      <c r="B287" s="774">
        <v>1000</v>
      </c>
      <c r="C287" s="774">
        <v>100</v>
      </c>
      <c r="D287" s="774">
        <v>2200</v>
      </c>
      <c r="E287" s="774" t="s">
        <v>1395</v>
      </c>
      <c r="F287" s="774" t="s">
        <v>1436</v>
      </c>
      <c r="G287" s="777">
        <v>517.16999999999996</v>
      </c>
      <c r="H287" s="14" t="s">
        <v>871</v>
      </c>
      <c r="I287" s="14" t="s">
        <v>875</v>
      </c>
      <c r="J287" s="14" t="s">
        <v>888</v>
      </c>
      <c r="K287" s="14" t="s">
        <v>877</v>
      </c>
    </row>
    <row r="288" spans="1:11" hidden="1" x14ac:dyDescent="0.25">
      <c r="A288" s="774">
        <v>56222</v>
      </c>
      <c r="B288" s="774">
        <v>1000</v>
      </c>
      <c r="C288" s="774">
        <v>100</v>
      </c>
      <c r="D288" s="774">
        <v>2300</v>
      </c>
      <c r="E288" s="774" t="s">
        <v>1395</v>
      </c>
      <c r="F288" s="774" t="s">
        <v>1436</v>
      </c>
      <c r="G288" s="777">
        <v>249.91</v>
      </c>
      <c r="H288" s="14" t="s">
        <v>871</v>
      </c>
      <c r="I288" s="14" t="s">
        <v>875</v>
      </c>
      <c r="J288" s="14" t="s">
        <v>900</v>
      </c>
      <c r="K288" s="14" t="s">
        <v>877</v>
      </c>
    </row>
    <row r="289" spans="1:11" hidden="1" x14ac:dyDescent="0.25">
      <c r="A289" s="774">
        <v>56222</v>
      </c>
      <c r="B289" s="774">
        <v>1000</v>
      </c>
      <c r="C289" s="774">
        <v>100</v>
      </c>
      <c r="D289" s="774">
        <v>2310</v>
      </c>
      <c r="E289" s="774" t="s">
        <v>1395</v>
      </c>
      <c r="F289" s="774" t="s">
        <v>1436</v>
      </c>
      <c r="G289" s="777">
        <v>50.72</v>
      </c>
      <c r="H289" s="14" t="s">
        <v>871</v>
      </c>
      <c r="I289" s="14" t="s">
        <v>875</v>
      </c>
      <c r="J289" s="14" t="s">
        <v>900</v>
      </c>
      <c r="K289" s="14" t="s">
        <v>877</v>
      </c>
    </row>
    <row r="290" spans="1:11" hidden="1" x14ac:dyDescent="0.25">
      <c r="A290" s="774">
        <v>56222</v>
      </c>
      <c r="B290" s="774">
        <v>1000</v>
      </c>
      <c r="C290" s="774">
        <v>100</v>
      </c>
      <c r="D290" s="774">
        <v>2400</v>
      </c>
      <c r="E290" s="774" t="s">
        <v>1395</v>
      </c>
      <c r="F290" s="774" t="s">
        <v>1436</v>
      </c>
      <c r="G290" s="777">
        <v>788.98</v>
      </c>
      <c r="H290" s="14" t="s">
        <v>871</v>
      </c>
      <c r="I290" s="14" t="s">
        <v>875</v>
      </c>
      <c r="J290" s="14" t="s">
        <v>904</v>
      </c>
      <c r="K290" s="14" t="s">
        <v>877</v>
      </c>
    </row>
    <row r="291" spans="1:11" hidden="1" x14ac:dyDescent="0.25">
      <c r="A291" s="774">
        <v>56222</v>
      </c>
      <c r="B291" s="774">
        <v>1000</v>
      </c>
      <c r="C291" s="774">
        <v>100</v>
      </c>
      <c r="D291" s="774">
        <v>2410</v>
      </c>
      <c r="E291" s="774" t="s">
        <v>1395</v>
      </c>
      <c r="F291" s="774" t="s">
        <v>1436</v>
      </c>
      <c r="G291" s="777">
        <v>78.84</v>
      </c>
      <c r="H291" s="14" t="s">
        <v>871</v>
      </c>
      <c r="I291" s="14" t="s">
        <v>875</v>
      </c>
      <c r="J291" s="14" t="s">
        <v>904</v>
      </c>
      <c r="K291" s="14" t="s">
        <v>877</v>
      </c>
    </row>
    <row r="292" spans="1:11" hidden="1" x14ac:dyDescent="0.25">
      <c r="A292" s="774">
        <v>56222</v>
      </c>
      <c r="B292" s="774">
        <v>1000</v>
      </c>
      <c r="C292" s="774">
        <v>100</v>
      </c>
      <c r="D292" s="774">
        <v>2500</v>
      </c>
      <c r="E292" s="774" t="s">
        <v>1395</v>
      </c>
      <c r="F292" s="774" t="s">
        <v>1436</v>
      </c>
      <c r="G292" s="777">
        <v>3551.92</v>
      </c>
      <c r="H292" s="14" t="s">
        <v>871</v>
      </c>
      <c r="I292" s="14" t="s">
        <v>875</v>
      </c>
      <c r="J292" s="14" t="s">
        <v>908</v>
      </c>
      <c r="K292" s="14" t="s">
        <v>877</v>
      </c>
    </row>
    <row r="293" spans="1:11" hidden="1" x14ac:dyDescent="0.25">
      <c r="A293" s="774">
        <v>56222</v>
      </c>
      <c r="B293" s="774">
        <v>1000</v>
      </c>
      <c r="C293" s="774">
        <v>100</v>
      </c>
      <c r="D293" s="774">
        <v>2510</v>
      </c>
      <c r="E293" s="774" t="s">
        <v>1395</v>
      </c>
      <c r="F293" s="774" t="s">
        <v>1436</v>
      </c>
      <c r="G293" s="777">
        <v>115.04</v>
      </c>
      <c r="H293" s="14" t="s">
        <v>871</v>
      </c>
      <c r="I293" s="14" t="s">
        <v>875</v>
      </c>
      <c r="J293" s="14" t="s">
        <v>908</v>
      </c>
      <c r="K293" s="14" t="s">
        <v>877</v>
      </c>
    </row>
    <row r="294" spans="1:11" hidden="1" x14ac:dyDescent="0.25">
      <c r="A294" s="774">
        <v>56222</v>
      </c>
      <c r="B294" s="774">
        <v>1000</v>
      </c>
      <c r="C294" s="774">
        <v>100</v>
      </c>
      <c r="D294" s="774">
        <v>2600</v>
      </c>
      <c r="E294" s="774" t="s">
        <v>1395</v>
      </c>
      <c r="F294" s="774" t="s">
        <v>1436</v>
      </c>
      <c r="G294" s="777">
        <v>322.5</v>
      </c>
      <c r="H294" s="14" t="s">
        <v>871</v>
      </c>
      <c r="I294" s="14" t="s">
        <v>875</v>
      </c>
      <c r="J294" s="14" t="s">
        <v>912</v>
      </c>
      <c r="K294" s="14" t="s">
        <v>877</v>
      </c>
    </row>
    <row r="295" spans="1:11" hidden="1" x14ac:dyDescent="0.25">
      <c r="A295" s="774">
        <v>56222</v>
      </c>
      <c r="B295" s="774">
        <v>1000</v>
      </c>
      <c r="C295" s="774">
        <v>100</v>
      </c>
      <c r="D295" s="774">
        <v>3100</v>
      </c>
      <c r="E295" s="774" t="s">
        <v>1395</v>
      </c>
      <c r="F295" s="774" t="s">
        <v>1436</v>
      </c>
      <c r="G295" s="777">
        <v>0.54</v>
      </c>
      <c r="H295" s="14" t="s">
        <v>871</v>
      </c>
      <c r="I295" s="14" t="s">
        <v>875</v>
      </c>
      <c r="J295" s="14" t="s">
        <v>924</v>
      </c>
      <c r="K295" s="14" t="s">
        <v>877</v>
      </c>
    </row>
    <row r="296" spans="1:11" hidden="1" x14ac:dyDescent="0.25">
      <c r="A296" s="774">
        <v>56222</v>
      </c>
      <c r="B296" s="774">
        <v>1000</v>
      </c>
      <c r="C296" s="774">
        <v>200</v>
      </c>
      <c r="D296" s="774">
        <v>1000</v>
      </c>
      <c r="E296" s="774" t="s">
        <v>1395</v>
      </c>
      <c r="F296" s="774" t="s">
        <v>1436</v>
      </c>
      <c r="G296" s="777">
        <v>3211.26</v>
      </c>
      <c r="H296" s="14" t="s">
        <v>871</v>
      </c>
      <c r="I296" s="14" t="s">
        <v>879</v>
      </c>
      <c r="J296" s="14" t="s">
        <v>876</v>
      </c>
      <c r="K296" s="14" t="s">
        <v>877</v>
      </c>
    </row>
    <row r="297" spans="1:11" hidden="1" x14ac:dyDescent="0.25">
      <c r="A297" s="774">
        <v>56222</v>
      </c>
      <c r="B297" s="774">
        <v>1000</v>
      </c>
      <c r="C297" s="774">
        <v>200</v>
      </c>
      <c r="D297" s="774">
        <v>2100</v>
      </c>
      <c r="E297" s="774" t="s">
        <v>1395</v>
      </c>
      <c r="F297" s="774" t="s">
        <v>1436</v>
      </c>
      <c r="G297" s="777">
        <v>950.82</v>
      </c>
      <c r="H297" s="14" t="s">
        <v>871</v>
      </c>
      <c r="I297" s="14" t="s">
        <v>879</v>
      </c>
      <c r="J297" s="14" t="s">
        <v>884</v>
      </c>
      <c r="K297" s="14" t="s">
        <v>877</v>
      </c>
    </row>
    <row r="298" spans="1:11" hidden="1" x14ac:dyDescent="0.25">
      <c r="A298" s="774">
        <v>56222</v>
      </c>
      <c r="B298" s="774">
        <v>1000</v>
      </c>
      <c r="C298" s="774">
        <v>240</v>
      </c>
      <c r="D298" s="774">
        <v>1000</v>
      </c>
      <c r="E298" s="774" t="s">
        <v>1395</v>
      </c>
      <c r="F298" s="774" t="s">
        <v>1436</v>
      </c>
      <c r="G298" s="777">
        <v>489.11</v>
      </c>
      <c r="H298" s="14" t="s">
        <v>871</v>
      </c>
      <c r="I298" s="14" t="s">
        <v>879</v>
      </c>
      <c r="J298" s="14" t="s">
        <v>876</v>
      </c>
      <c r="K298" s="14" t="s">
        <v>877</v>
      </c>
    </row>
    <row r="299" spans="1:11" hidden="1" x14ac:dyDescent="0.25">
      <c r="A299" s="774">
        <v>56222</v>
      </c>
      <c r="B299" s="774">
        <v>1000</v>
      </c>
      <c r="C299" s="774">
        <v>400</v>
      </c>
      <c r="D299" s="774">
        <v>2700</v>
      </c>
      <c r="E299" s="774" t="s">
        <v>1395</v>
      </c>
      <c r="F299" s="774" t="s">
        <v>1436</v>
      </c>
      <c r="G299" s="777">
        <v>12.95</v>
      </c>
      <c r="H299" s="14" t="s">
        <v>871</v>
      </c>
      <c r="I299" s="14" t="s">
        <v>895</v>
      </c>
      <c r="J299" s="14" t="s">
        <v>916</v>
      </c>
      <c r="K299" s="14" t="s">
        <v>877</v>
      </c>
    </row>
    <row r="300" spans="1:11" hidden="1" x14ac:dyDescent="0.25">
      <c r="A300" s="774">
        <v>56222</v>
      </c>
      <c r="B300" s="774">
        <v>1000</v>
      </c>
      <c r="C300" s="774">
        <v>615</v>
      </c>
      <c r="D300" s="774">
        <v>1000</v>
      </c>
      <c r="E300" s="774" t="s">
        <v>1395</v>
      </c>
      <c r="F300" s="774" t="s">
        <v>1436</v>
      </c>
      <c r="G300" s="777">
        <v>-2.57</v>
      </c>
      <c r="H300" s="14" t="s">
        <v>871</v>
      </c>
      <c r="I300" s="14" t="s">
        <v>919</v>
      </c>
      <c r="J300" s="14" t="s">
        <v>876</v>
      </c>
      <c r="K300" s="14" t="s">
        <v>877</v>
      </c>
    </row>
    <row r="301" spans="1:11" hidden="1" x14ac:dyDescent="0.25">
      <c r="A301" s="774">
        <v>56222</v>
      </c>
      <c r="B301" s="774">
        <v>1000</v>
      </c>
      <c r="C301" s="774">
        <v>620</v>
      </c>
      <c r="D301" s="774">
        <v>2100</v>
      </c>
      <c r="E301" s="774" t="s">
        <v>1395</v>
      </c>
      <c r="F301" s="774" t="s">
        <v>1436</v>
      </c>
      <c r="G301" s="777">
        <v>13.99</v>
      </c>
      <c r="H301" s="14" t="s">
        <v>871</v>
      </c>
      <c r="I301" s="14" t="s">
        <v>923</v>
      </c>
      <c r="J301" s="14" t="s">
        <v>884</v>
      </c>
      <c r="K301" s="14" t="s">
        <v>877</v>
      </c>
    </row>
    <row r="302" spans="1:11" hidden="1" x14ac:dyDescent="0.25">
      <c r="A302" s="774">
        <v>56222</v>
      </c>
      <c r="B302" s="774">
        <v>1012</v>
      </c>
      <c r="C302" s="774">
        <v>100</v>
      </c>
      <c r="D302" s="774">
        <v>1000</v>
      </c>
      <c r="E302" s="774" t="s">
        <v>1395</v>
      </c>
      <c r="F302" s="774" t="s">
        <v>1436</v>
      </c>
      <c r="G302" s="777">
        <v>3400.26</v>
      </c>
      <c r="H302" s="14" t="s">
        <v>872</v>
      </c>
      <c r="I302" s="14" t="s">
        <v>875</v>
      </c>
      <c r="J302" s="14" t="s">
        <v>876</v>
      </c>
      <c r="K302" s="14" t="s">
        <v>877</v>
      </c>
    </row>
    <row r="303" spans="1:11" hidden="1" x14ac:dyDescent="0.25">
      <c r="A303" s="774">
        <v>56222</v>
      </c>
      <c r="B303" s="774">
        <v>1012</v>
      </c>
      <c r="C303" s="774">
        <v>200</v>
      </c>
      <c r="D303" s="774">
        <v>2100</v>
      </c>
      <c r="E303" s="774" t="s">
        <v>1395</v>
      </c>
      <c r="F303" s="774" t="s">
        <v>1436</v>
      </c>
      <c r="G303" s="777">
        <v>206.64</v>
      </c>
      <c r="H303" s="14" t="s">
        <v>872</v>
      </c>
      <c r="I303" s="14" t="s">
        <v>879</v>
      </c>
      <c r="J303" s="14" t="s">
        <v>884</v>
      </c>
      <c r="K303" s="14" t="s">
        <v>877</v>
      </c>
    </row>
    <row r="304" spans="1:11" hidden="1" x14ac:dyDescent="0.25">
      <c r="A304" s="774">
        <v>56222</v>
      </c>
      <c r="B304" s="774">
        <v>1012</v>
      </c>
      <c r="C304" s="774">
        <v>240</v>
      </c>
      <c r="D304" s="774">
        <v>1000</v>
      </c>
      <c r="E304" s="774" t="s">
        <v>1395</v>
      </c>
      <c r="F304" s="774" t="s">
        <v>1436</v>
      </c>
      <c r="G304" s="777">
        <v>32.630000000000003</v>
      </c>
      <c r="H304" s="14" t="s">
        <v>872</v>
      </c>
      <c r="I304" s="14" t="s">
        <v>879</v>
      </c>
      <c r="J304" s="14" t="s">
        <v>876</v>
      </c>
      <c r="K304" s="14" t="s">
        <v>877</v>
      </c>
    </row>
    <row r="305" spans="1:11" x14ac:dyDescent="0.25">
      <c r="A305" s="774">
        <v>56222</v>
      </c>
      <c r="B305" s="774">
        <v>1220</v>
      </c>
      <c r="C305" s="774">
        <v>200</v>
      </c>
      <c r="D305" s="774">
        <v>2100</v>
      </c>
      <c r="E305" s="774" t="s">
        <v>1395</v>
      </c>
      <c r="F305" s="774" t="s">
        <v>1436</v>
      </c>
      <c r="G305" s="777">
        <v>544.96</v>
      </c>
      <c r="H305" s="14" t="s">
        <v>914</v>
      </c>
      <c r="I305" s="14" t="s">
        <v>879</v>
      </c>
      <c r="J305" s="14" t="s">
        <v>884</v>
      </c>
      <c r="K305" s="14" t="s">
        <v>877</v>
      </c>
    </row>
    <row r="306" spans="1:11" hidden="1" x14ac:dyDescent="0.25">
      <c r="A306" s="774">
        <v>56222</v>
      </c>
      <c r="B306" s="774">
        <v>1487</v>
      </c>
      <c r="C306" s="774">
        <v>100</v>
      </c>
      <c r="D306" s="774">
        <v>2100</v>
      </c>
      <c r="E306" s="774" t="s">
        <v>1395</v>
      </c>
      <c r="F306" s="774" t="s">
        <v>1436</v>
      </c>
      <c r="G306" s="777">
        <v>802.53</v>
      </c>
      <c r="H306" s="14" t="s">
        <v>974</v>
      </c>
      <c r="I306" s="14" t="s">
        <v>875</v>
      </c>
      <c r="J306" s="14" t="s">
        <v>884</v>
      </c>
      <c r="K306" s="14" t="s">
        <v>877</v>
      </c>
    </row>
    <row r="307" spans="1:11" hidden="1" x14ac:dyDescent="0.25">
      <c r="A307" s="774">
        <v>56222</v>
      </c>
      <c r="B307" s="774">
        <v>1534</v>
      </c>
      <c r="C307" s="774">
        <v>400</v>
      </c>
      <c r="D307" s="774">
        <v>2700</v>
      </c>
      <c r="E307" s="774" t="s">
        <v>1395</v>
      </c>
      <c r="F307" s="774" t="s">
        <v>1436</v>
      </c>
      <c r="G307" s="777">
        <v>43.38</v>
      </c>
      <c r="H307" s="14" t="s">
        <v>978</v>
      </c>
      <c r="I307" s="14" t="s">
        <v>895</v>
      </c>
      <c r="J307" s="14" t="s">
        <v>916</v>
      </c>
      <c r="K307" s="14" t="s">
        <v>877</v>
      </c>
    </row>
    <row r="308" spans="1:11" hidden="1" x14ac:dyDescent="0.25">
      <c r="A308" s="774">
        <v>56222</v>
      </c>
      <c r="B308" s="774">
        <v>1542</v>
      </c>
      <c r="C308" s="774">
        <v>100</v>
      </c>
      <c r="D308" s="774">
        <v>2100</v>
      </c>
      <c r="E308" s="774" t="s">
        <v>1395</v>
      </c>
      <c r="F308" s="774" t="s">
        <v>1436</v>
      </c>
      <c r="G308" s="777">
        <v>23.93</v>
      </c>
      <c r="H308" s="14" t="s">
        <v>978</v>
      </c>
      <c r="I308" s="14" t="s">
        <v>875</v>
      </c>
      <c r="J308" s="14" t="s">
        <v>884</v>
      </c>
      <c r="K308" s="14" t="s">
        <v>877</v>
      </c>
    </row>
    <row r="309" spans="1:11" hidden="1" x14ac:dyDescent="0.25">
      <c r="A309" s="774">
        <v>56222</v>
      </c>
      <c r="B309" s="774">
        <v>1542</v>
      </c>
      <c r="C309" s="774">
        <v>100</v>
      </c>
      <c r="D309" s="774">
        <v>2500</v>
      </c>
      <c r="E309" s="774" t="s">
        <v>1395</v>
      </c>
      <c r="F309" s="774" t="s">
        <v>1436</v>
      </c>
      <c r="G309" s="777">
        <v>21.04</v>
      </c>
      <c r="H309" s="14" t="s">
        <v>978</v>
      </c>
      <c r="I309" s="14" t="s">
        <v>875</v>
      </c>
      <c r="J309" s="14" t="s">
        <v>908</v>
      </c>
      <c r="K309" s="14" t="s">
        <v>877</v>
      </c>
    </row>
    <row r="310" spans="1:11" hidden="1" x14ac:dyDescent="0.25">
      <c r="A310" s="774">
        <v>56222</v>
      </c>
      <c r="B310" s="774">
        <v>1732</v>
      </c>
      <c r="C310" s="774">
        <v>620</v>
      </c>
      <c r="D310" s="774">
        <v>1000</v>
      </c>
      <c r="E310" s="774" t="s">
        <v>1395</v>
      </c>
      <c r="F310" s="774" t="s">
        <v>1436</v>
      </c>
      <c r="G310" s="777">
        <v>26.1</v>
      </c>
      <c r="H310" s="14" t="s">
        <v>978</v>
      </c>
      <c r="I310" s="14" t="s">
        <v>923</v>
      </c>
      <c r="J310" s="14" t="s">
        <v>876</v>
      </c>
      <c r="K310" s="14" t="s">
        <v>877</v>
      </c>
    </row>
    <row r="311" spans="1:11" hidden="1" x14ac:dyDescent="0.25">
      <c r="A311" s="774">
        <v>56222</v>
      </c>
      <c r="B311" s="774">
        <v>1737</v>
      </c>
      <c r="C311" s="774">
        <v>620</v>
      </c>
      <c r="D311" s="774">
        <v>1000</v>
      </c>
      <c r="E311" s="774" t="s">
        <v>1395</v>
      </c>
      <c r="F311" s="774" t="s">
        <v>1436</v>
      </c>
      <c r="G311" s="777">
        <v>46.88</v>
      </c>
      <c r="H311" s="14" t="s">
        <v>978</v>
      </c>
      <c r="I311" s="14" t="s">
        <v>923</v>
      </c>
      <c r="J311" s="14" t="s">
        <v>876</v>
      </c>
      <c r="K311" s="14" t="s">
        <v>877</v>
      </c>
    </row>
    <row r="312" spans="1:11" hidden="1" x14ac:dyDescent="0.25">
      <c r="A312" s="774">
        <v>56222</v>
      </c>
      <c r="B312" s="774">
        <v>1743</v>
      </c>
      <c r="C312" s="774">
        <v>620</v>
      </c>
      <c r="D312" s="774">
        <v>1000</v>
      </c>
      <c r="E312" s="774" t="s">
        <v>1395</v>
      </c>
      <c r="F312" s="774" t="s">
        <v>1436</v>
      </c>
      <c r="G312" s="777">
        <v>14.5</v>
      </c>
      <c r="H312" s="14" t="s">
        <v>978</v>
      </c>
      <c r="I312" s="14" t="s">
        <v>923</v>
      </c>
      <c r="J312" s="14" t="s">
        <v>876</v>
      </c>
      <c r="K312" s="14" t="s">
        <v>877</v>
      </c>
    </row>
    <row r="313" spans="1:11" hidden="1" x14ac:dyDescent="0.25">
      <c r="A313" s="774">
        <v>56222</v>
      </c>
      <c r="B313" s="774">
        <v>1745</v>
      </c>
      <c r="C313" s="774">
        <v>620</v>
      </c>
      <c r="D313" s="774">
        <v>1000</v>
      </c>
      <c r="E313" s="774" t="s">
        <v>1395</v>
      </c>
      <c r="F313" s="774" t="s">
        <v>1436</v>
      </c>
      <c r="G313" s="777">
        <v>26.1</v>
      </c>
      <c r="H313" s="14" t="s">
        <v>978</v>
      </c>
      <c r="I313" s="14" t="s">
        <v>923</v>
      </c>
      <c r="J313" s="14" t="s">
        <v>876</v>
      </c>
      <c r="K313" s="14" t="s">
        <v>877</v>
      </c>
    </row>
    <row r="314" spans="1:11" hidden="1" x14ac:dyDescent="0.25">
      <c r="A314" s="774">
        <v>56222</v>
      </c>
      <c r="B314" s="774">
        <v>1751</v>
      </c>
      <c r="C314" s="774">
        <v>620</v>
      </c>
      <c r="D314" s="774">
        <v>1000</v>
      </c>
      <c r="E314" s="774" t="s">
        <v>1395</v>
      </c>
      <c r="F314" s="774" t="s">
        <v>1436</v>
      </c>
      <c r="G314" s="777">
        <v>13.05</v>
      </c>
      <c r="H314" s="14" t="s">
        <v>978</v>
      </c>
      <c r="I314" s="14" t="s">
        <v>923</v>
      </c>
      <c r="J314" s="14" t="s">
        <v>876</v>
      </c>
      <c r="K314" s="14" t="s">
        <v>877</v>
      </c>
    </row>
    <row r="315" spans="1:11" hidden="1" x14ac:dyDescent="0.25">
      <c r="A315" s="774">
        <v>56222</v>
      </c>
      <c r="B315" s="774">
        <v>1767</v>
      </c>
      <c r="C315" s="774">
        <v>620</v>
      </c>
      <c r="D315" s="774">
        <v>1000</v>
      </c>
      <c r="E315" s="774" t="s">
        <v>1395</v>
      </c>
      <c r="F315" s="774" t="s">
        <v>1436</v>
      </c>
      <c r="G315" s="777">
        <v>51.64</v>
      </c>
      <c r="H315" s="14" t="s">
        <v>978</v>
      </c>
      <c r="I315" s="14" t="s">
        <v>923</v>
      </c>
      <c r="J315" s="14" t="s">
        <v>876</v>
      </c>
      <c r="K315" s="14" t="s">
        <v>877</v>
      </c>
    </row>
    <row r="316" spans="1:11" hidden="1" x14ac:dyDescent="0.25">
      <c r="A316" s="774">
        <v>56222</v>
      </c>
      <c r="B316" s="774">
        <v>1805</v>
      </c>
      <c r="C316" s="774">
        <v>615</v>
      </c>
      <c r="D316" s="774">
        <v>1000</v>
      </c>
      <c r="E316" s="774" t="s">
        <v>1395</v>
      </c>
      <c r="F316" s="774" t="s">
        <v>1436</v>
      </c>
      <c r="G316" s="777">
        <v>17.88</v>
      </c>
      <c r="H316" s="14" t="s">
        <v>978</v>
      </c>
      <c r="I316" s="14" t="s">
        <v>919</v>
      </c>
      <c r="J316" s="14" t="s">
        <v>876</v>
      </c>
      <c r="K316" s="14" t="s">
        <v>877</v>
      </c>
    </row>
    <row r="317" spans="1:11" hidden="1" x14ac:dyDescent="0.25">
      <c r="A317" s="774">
        <v>56222</v>
      </c>
      <c r="B317" s="774">
        <v>1858</v>
      </c>
      <c r="C317" s="774">
        <v>615</v>
      </c>
      <c r="D317" s="774">
        <v>1000</v>
      </c>
      <c r="E317" s="774" t="s">
        <v>1395</v>
      </c>
      <c r="F317" s="774" t="s">
        <v>1436</v>
      </c>
      <c r="G317" s="777">
        <v>19.190000000000001</v>
      </c>
      <c r="H317" s="14" t="s">
        <v>978</v>
      </c>
      <c r="I317" s="14" t="s">
        <v>919</v>
      </c>
      <c r="J317" s="14" t="s">
        <v>876</v>
      </c>
      <c r="K317" s="14" t="s">
        <v>877</v>
      </c>
    </row>
    <row r="318" spans="1:11" hidden="1" x14ac:dyDescent="0.25">
      <c r="A318" s="774">
        <v>56222</v>
      </c>
      <c r="B318" s="774">
        <v>1871</v>
      </c>
      <c r="C318" s="774">
        <v>920</v>
      </c>
      <c r="D318" s="774">
        <v>3300</v>
      </c>
      <c r="E318" s="774" t="s">
        <v>1395</v>
      </c>
      <c r="F318" s="774" t="s">
        <v>1436</v>
      </c>
      <c r="G318" s="777">
        <v>227.04</v>
      </c>
      <c r="H318" s="14" t="s">
        <v>978</v>
      </c>
      <c r="I318" s="14" t="s">
        <v>939</v>
      </c>
      <c r="J318" s="14" t="s">
        <v>928</v>
      </c>
      <c r="K318" s="14" t="s">
        <v>877</v>
      </c>
    </row>
    <row r="319" spans="1:11" hidden="1" x14ac:dyDescent="0.25">
      <c r="A319" s="774">
        <v>56222</v>
      </c>
      <c r="B319" s="774">
        <v>1910</v>
      </c>
      <c r="C319" s="774">
        <v>615</v>
      </c>
      <c r="D319" s="774">
        <v>1000</v>
      </c>
      <c r="E319" s="774" t="s">
        <v>1395</v>
      </c>
      <c r="F319" s="774" t="s">
        <v>1436</v>
      </c>
      <c r="G319" s="777">
        <v>8.74</v>
      </c>
      <c r="H319" s="14" t="s">
        <v>978</v>
      </c>
      <c r="I319" s="14" t="s">
        <v>919</v>
      </c>
      <c r="J319" s="14" t="s">
        <v>876</v>
      </c>
      <c r="K319" s="14" t="s">
        <v>877</v>
      </c>
    </row>
    <row r="320" spans="1:11" hidden="1" x14ac:dyDescent="0.25">
      <c r="A320" s="774">
        <v>56231</v>
      </c>
      <c r="B320" s="774">
        <v>1000</v>
      </c>
      <c r="C320" s="774">
        <v>100</v>
      </c>
      <c r="D320" s="774">
        <v>1000</v>
      </c>
      <c r="E320" s="774" t="s">
        <v>1395</v>
      </c>
      <c r="F320" s="774" t="s">
        <v>1437</v>
      </c>
      <c r="G320" s="777">
        <v>117261.69</v>
      </c>
      <c r="H320" s="14" t="s">
        <v>871</v>
      </c>
      <c r="I320" s="14" t="s">
        <v>875</v>
      </c>
      <c r="J320" s="14" t="s">
        <v>876</v>
      </c>
      <c r="K320" s="14" t="s">
        <v>877</v>
      </c>
    </row>
    <row r="321" spans="1:11" hidden="1" x14ac:dyDescent="0.25">
      <c r="A321" s="774">
        <v>56231</v>
      </c>
      <c r="B321" s="774">
        <v>1000</v>
      </c>
      <c r="C321" s="774">
        <v>100</v>
      </c>
      <c r="D321" s="774">
        <v>2100</v>
      </c>
      <c r="E321" s="774" t="s">
        <v>1395</v>
      </c>
      <c r="F321" s="774" t="s">
        <v>1437</v>
      </c>
      <c r="G321" s="777">
        <v>17599.66</v>
      </c>
      <c r="H321" s="14" t="s">
        <v>871</v>
      </c>
      <c r="I321" s="14" t="s">
        <v>875</v>
      </c>
      <c r="J321" s="14" t="s">
        <v>884</v>
      </c>
      <c r="K321" s="14" t="s">
        <v>877</v>
      </c>
    </row>
    <row r="322" spans="1:11" hidden="1" x14ac:dyDescent="0.25">
      <c r="A322" s="774">
        <v>56231</v>
      </c>
      <c r="B322" s="774">
        <v>1000</v>
      </c>
      <c r="C322" s="774">
        <v>100</v>
      </c>
      <c r="D322" s="774">
        <v>2110</v>
      </c>
      <c r="E322" s="774" t="s">
        <v>1395</v>
      </c>
      <c r="F322" s="774" t="s">
        <v>1437</v>
      </c>
      <c r="G322" s="777">
        <v>496.97</v>
      </c>
      <c r="H322" s="14" t="s">
        <v>871</v>
      </c>
      <c r="I322" s="14" t="s">
        <v>875</v>
      </c>
      <c r="J322" s="14" t="s">
        <v>884</v>
      </c>
      <c r="K322" s="14" t="s">
        <v>877</v>
      </c>
    </row>
    <row r="323" spans="1:11" hidden="1" x14ac:dyDescent="0.25">
      <c r="A323" s="774">
        <v>56231</v>
      </c>
      <c r="B323" s="774">
        <v>1000</v>
      </c>
      <c r="C323" s="774">
        <v>100</v>
      </c>
      <c r="D323" s="774">
        <v>2200</v>
      </c>
      <c r="E323" s="774" t="s">
        <v>1395</v>
      </c>
      <c r="F323" s="774" t="s">
        <v>1437</v>
      </c>
      <c r="G323" s="777">
        <v>4427.84</v>
      </c>
      <c r="H323" s="14" t="s">
        <v>871</v>
      </c>
      <c r="I323" s="14" t="s">
        <v>875</v>
      </c>
      <c r="J323" s="14" t="s">
        <v>888</v>
      </c>
      <c r="K323" s="14" t="s">
        <v>877</v>
      </c>
    </row>
    <row r="324" spans="1:11" hidden="1" x14ac:dyDescent="0.25">
      <c r="A324" s="774">
        <v>56231</v>
      </c>
      <c r="B324" s="774">
        <v>1000</v>
      </c>
      <c r="C324" s="774">
        <v>100</v>
      </c>
      <c r="D324" s="774">
        <v>2300</v>
      </c>
      <c r="E324" s="774" t="s">
        <v>1395</v>
      </c>
      <c r="F324" s="774" t="s">
        <v>1437</v>
      </c>
      <c r="G324" s="777">
        <v>2198.8200000000002</v>
      </c>
      <c r="H324" s="14" t="s">
        <v>871</v>
      </c>
      <c r="I324" s="14" t="s">
        <v>875</v>
      </c>
      <c r="J324" s="14" t="s">
        <v>900</v>
      </c>
      <c r="K324" s="14" t="s">
        <v>877</v>
      </c>
    </row>
    <row r="325" spans="1:11" hidden="1" x14ac:dyDescent="0.25">
      <c r="A325" s="774">
        <v>56231</v>
      </c>
      <c r="B325" s="774">
        <v>1000</v>
      </c>
      <c r="C325" s="774">
        <v>100</v>
      </c>
      <c r="D325" s="774">
        <v>2310</v>
      </c>
      <c r="E325" s="774" t="s">
        <v>1395</v>
      </c>
      <c r="F325" s="774" t="s">
        <v>1437</v>
      </c>
      <c r="G325" s="777">
        <v>451.61</v>
      </c>
      <c r="H325" s="14" t="s">
        <v>871</v>
      </c>
      <c r="I325" s="14" t="s">
        <v>875</v>
      </c>
      <c r="J325" s="14" t="s">
        <v>900</v>
      </c>
      <c r="K325" s="14" t="s">
        <v>877</v>
      </c>
    </row>
    <row r="326" spans="1:11" hidden="1" x14ac:dyDescent="0.25">
      <c r="A326" s="774">
        <v>56231</v>
      </c>
      <c r="B326" s="774">
        <v>1000</v>
      </c>
      <c r="C326" s="774">
        <v>100</v>
      </c>
      <c r="D326" s="774">
        <v>2400</v>
      </c>
      <c r="E326" s="774" t="s">
        <v>1395</v>
      </c>
      <c r="F326" s="774" t="s">
        <v>1437</v>
      </c>
      <c r="G326" s="777">
        <v>6248.95</v>
      </c>
      <c r="H326" s="14" t="s">
        <v>871</v>
      </c>
      <c r="I326" s="14" t="s">
        <v>875</v>
      </c>
      <c r="J326" s="14" t="s">
        <v>904</v>
      </c>
      <c r="K326" s="14" t="s">
        <v>877</v>
      </c>
    </row>
    <row r="327" spans="1:11" hidden="1" x14ac:dyDescent="0.25">
      <c r="A327" s="774">
        <v>56231</v>
      </c>
      <c r="B327" s="774">
        <v>1000</v>
      </c>
      <c r="C327" s="774">
        <v>100</v>
      </c>
      <c r="D327" s="774">
        <v>2410</v>
      </c>
      <c r="E327" s="774" t="s">
        <v>1395</v>
      </c>
      <c r="F327" s="774" t="s">
        <v>1437</v>
      </c>
      <c r="G327" s="777">
        <v>683.68</v>
      </c>
      <c r="H327" s="14" t="s">
        <v>871</v>
      </c>
      <c r="I327" s="14" t="s">
        <v>875</v>
      </c>
      <c r="J327" s="14" t="s">
        <v>904</v>
      </c>
      <c r="K327" s="14" t="s">
        <v>877</v>
      </c>
    </row>
    <row r="328" spans="1:11" hidden="1" x14ac:dyDescent="0.25">
      <c r="A328" s="774">
        <v>56231</v>
      </c>
      <c r="B328" s="774">
        <v>1000</v>
      </c>
      <c r="C328" s="774">
        <v>100</v>
      </c>
      <c r="D328" s="774">
        <v>2500</v>
      </c>
      <c r="E328" s="774" t="s">
        <v>1395</v>
      </c>
      <c r="F328" s="774" t="s">
        <v>1437</v>
      </c>
      <c r="G328" s="777">
        <v>30635.65</v>
      </c>
      <c r="H328" s="14" t="s">
        <v>871</v>
      </c>
      <c r="I328" s="14" t="s">
        <v>875</v>
      </c>
      <c r="J328" s="14" t="s">
        <v>908</v>
      </c>
      <c r="K328" s="14" t="s">
        <v>877</v>
      </c>
    </row>
    <row r="329" spans="1:11" hidden="1" x14ac:dyDescent="0.25">
      <c r="A329" s="774">
        <v>56231</v>
      </c>
      <c r="B329" s="774">
        <v>1000</v>
      </c>
      <c r="C329" s="774">
        <v>100</v>
      </c>
      <c r="D329" s="774">
        <v>2510</v>
      </c>
      <c r="E329" s="774" t="s">
        <v>1395</v>
      </c>
      <c r="F329" s="774" t="s">
        <v>1437</v>
      </c>
      <c r="G329" s="777">
        <v>892.21</v>
      </c>
      <c r="H329" s="14" t="s">
        <v>871</v>
      </c>
      <c r="I329" s="14" t="s">
        <v>875</v>
      </c>
      <c r="J329" s="14" t="s">
        <v>908</v>
      </c>
      <c r="K329" s="14" t="s">
        <v>877</v>
      </c>
    </row>
    <row r="330" spans="1:11" hidden="1" x14ac:dyDescent="0.25">
      <c r="A330" s="774">
        <v>56231</v>
      </c>
      <c r="B330" s="774">
        <v>1000</v>
      </c>
      <c r="C330" s="774">
        <v>100</v>
      </c>
      <c r="D330" s="774">
        <v>2600</v>
      </c>
      <c r="E330" s="774" t="s">
        <v>1395</v>
      </c>
      <c r="F330" s="774" t="s">
        <v>1437</v>
      </c>
      <c r="G330" s="777">
        <v>2756.89</v>
      </c>
      <c r="H330" s="14" t="s">
        <v>871</v>
      </c>
      <c r="I330" s="14" t="s">
        <v>875</v>
      </c>
      <c r="J330" s="14" t="s">
        <v>912</v>
      </c>
      <c r="K330" s="14" t="s">
        <v>877</v>
      </c>
    </row>
    <row r="331" spans="1:11" hidden="1" x14ac:dyDescent="0.25">
      <c r="A331" s="774">
        <v>56231</v>
      </c>
      <c r="B331" s="774">
        <v>1000</v>
      </c>
      <c r="C331" s="774">
        <v>100</v>
      </c>
      <c r="D331" s="774">
        <v>3100</v>
      </c>
      <c r="E331" s="774" t="s">
        <v>1395</v>
      </c>
      <c r="F331" s="774" t="s">
        <v>1437</v>
      </c>
      <c r="G331" s="777">
        <v>4.5</v>
      </c>
      <c r="H331" s="14" t="s">
        <v>871</v>
      </c>
      <c r="I331" s="14" t="s">
        <v>875</v>
      </c>
      <c r="J331" s="14" t="s">
        <v>924</v>
      </c>
      <c r="K331" s="14" t="s">
        <v>877</v>
      </c>
    </row>
    <row r="332" spans="1:11" hidden="1" x14ac:dyDescent="0.25">
      <c r="A332" s="774">
        <v>56231</v>
      </c>
      <c r="B332" s="774">
        <v>1000</v>
      </c>
      <c r="C332" s="774">
        <v>200</v>
      </c>
      <c r="D332" s="774">
        <v>1000</v>
      </c>
      <c r="E332" s="774" t="s">
        <v>1395</v>
      </c>
      <c r="F332" s="774" t="s">
        <v>1437</v>
      </c>
      <c r="G332" s="777">
        <v>26884.799999999999</v>
      </c>
      <c r="H332" s="14" t="s">
        <v>871</v>
      </c>
      <c r="I332" s="14" t="s">
        <v>879</v>
      </c>
      <c r="J332" s="14" t="s">
        <v>876</v>
      </c>
      <c r="K332" s="14" t="s">
        <v>877</v>
      </c>
    </row>
    <row r="333" spans="1:11" hidden="1" x14ac:dyDescent="0.25">
      <c r="A333" s="774">
        <v>56231</v>
      </c>
      <c r="B333" s="774">
        <v>1000</v>
      </c>
      <c r="C333" s="774">
        <v>200</v>
      </c>
      <c r="D333" s="774">
        <v>2100</v>
      </c>
      <c r="E333" s="774" t="s">
        <v>1395</v>
      </c>
      <c r="F333" s="774" t="s">
        <v>1437</v>
      </c>
      <c r="G333" s="777">
        <v>8162.21</v>
      </c>
      <c r="H333" s="14" t="s">
        <v>871</v>
      </c>
      <c r="I333" s="14" t="s">
        <v>879</v>
      </c>
      <c r="J333" s="14" t="s">
        <v>884</v>
      </c>
      <c r="K333" s="14" t="s">
        <v>877</v>
      </c>
    </row>
    <row r="334" spans="1:11" hidden="1" x14ac:dyDescent="0.25">
      <c r="A334" s="774">
        <v>56231</v>
      </c>
      <c r="B334" s="774">
        <v>1000</v>
      </c>
      <c r="C334" s="774">
        <v>240</v>
      </c>
      <c r="D334" s="774">
        <v>1000</v>
      </c>
      <c r="E334" s="774" t="s">
        <v>1395</v>
      </c>
      <c r="F334" s="774" t="s">
        <v>1437</v>
      </c>
      <c r="G334" s="777">
        <v>4069.7</v>
      </c>
      <c r="H334" s="14" t="s">
        <v>871</v>
      </c>
      <c r="I334" s="14" t="s">
        <v>879</v>
      </c>
      <c r="J334" s="14" t="s">
        <v>876</v>
      </c>
      <c r="K334" s="14" t="s">
        <v>877</v>
      </c>
    </row>
    <row r="335" spans="1:11" hidden="1" x14ac:dyDescent="0.25">
      <c r="A335" s="774">
        <v>56231</v>
      </c>
      <c r="B335" s="774">
        <v>1000</v>
      </c>
      <c r="C335" s="774">
        <v>400</v>
      </c>
      <c r="D335" s="774">
        <v>2700</v>
      </c>
      <c r="E335" s="774" t="s">
        <v>1395</v>
      </c>
      <c r="F335" s="774" t="s">
        <v>1437</v>
      </c>
      <c r="G335" s="777">
        <v>58.87</v>
      </c>
      <c r="H335" s="14" t="s">
        <v>871</v>
      </c>
      <c r="I335" s="14" t="s">
        <v>895</v>
      </c>
      <c r="J335" s="14" t="s">
        <v>916</v>
      </c>
      <c r="K335" s="14" t="s">
        <v>877</v>
      </c>
    </row>
    <row r="336" spans="1:11" hidden="1" x14ac:dyDescent="0.25">
      <c r="A336" s="774">
        <v>56231</v>
      </c>
      <c r="B336" s="774">
        <v>1000</v>
      </c>
      <c r="C336" s="774">
        <v>615</v>
      </c>
      <c r="D336" s="774">
        <v>1000</v>
      </c>
      <c r="E336" s="774" t="s">
        <v>1395</v>
      </c>
      <c r="F336" s="774" t="s">
        <v>1437</v>
      </c>
      <c r="G336" s="777">
        <v>-21.52</v>
      </c>
      <c r="H336" s="14" t="s">
        <v>871</v>
      </c>
      <c r="I336" s="14" t="s">
        <v>919</v>
      </c>
      <c r="J336" s="14" t="s">
        <v>876</v>
      </c>
      <c r="K336" s="14" t="s">
        <v>877</v>
      </c>
    </row>
    <row r="337" spans="1:11" hidden="1" x14ac:dyDescent="0.25">
      <c r="A337" s="774">
        <v>56231</v>
      </c>
      <c r="B337" s="774">
        <v>1000</v>
      </c>
      <c r="C337" s="774">
        <v>620</v>
      </c>
      <c r="D337" s="774">
        <v>2100</v>
      </c>
      <c r="E337" s="774" t="s">
        <v>1395</v>
      </c>
      <c r="F337" s="774" t="s">
        <v>1437</v>
      </c>
      <c r="G337" s="777">
        <v>119.98</v>
      </c>
      <c r="H337" s="14" t="s">
        <v>871</v>
      </c>
      <c r="I337" s="14" t="s">
        <v>923</v>
      </c>
      <c r="J337" s="14" t="s">
        <v>884</v>
      </c>
      <c r="K337" s="14" t="s">
        <v>877</v>
      </c>
    </row>
    <row r="338" spans="1:11" hidden="1" x14ac:dyDescent="0.25">
      <c r="A338" s="774">
        <v>56231</v>
      </c>
      <c r="B338" s="774">
        <v>1012</v>
      </c>
      <c r="C338" s="774">
        <v>100</v>
      </c>
      <c r="D338" s="774">
        <v>1000</v>
      </c>
      <c r="E338" s="774" t="s">
        <v>1395</v>
      </c>
      <c r="F338" s="774" t="s">
        <v>1437</v>
      </c>
      <c r="G338" s="777">
        <v>28421.18</v>
      </c>
      <c r="H338" s="14" t="s">
        <v>872</v>
      </c>
      <c r="I338" s="14" t="s">
        <v>875</v>
      </c>
      <c r="J338" s="14" t="s">
        <v>876</v>
      </c>
      <c r="K338" s="14" t="s">
        <v>877</v>
      </c>
    </row>
    <row r="339" spans="1:11" hidden="1" x14ac:dyDescent="0.25">
      <c r="A339" s="774">
        <v>56231</v>
      </c>
      <c r="B339" s="774">
        <v>1012</v>
      </c>
      <c r="C339" s="774">
        <v>200</v>
      </c>
      <c r="D339" s="774">
        <v>2100</v>
      </c>
      <c r="E339" s="774" t="s">
        <v>1395</v>
      </c>
      <c r="F339" s="774" t="s">
        <v>1437</v>
      </c>
      <c r="G339" s="777">
        <v>1727.1</v>
      </c>
      <c r="H339" s="14" t="s">
        <v>872</v>
      </c>
      <c r="I339" s="14" t="s">
        <v>879</v>
      </c>
      <c r="J339" s="14" t="s">
        <v>884</v>
      </c>
      <c r="K339" s="14" t="s">
        <v>877</v>
      </c>
    </row>
    <row r="340" spans="1:11" hidden="1" x14ac:dyDescent="0.25">
      <c r="A340" s="774">
        <v>56231</v>
      </c>
      <c r="B340" s="774">
        <v>1012</v>
      </c>
      <c r="C340" s="774">
        <v>240</v>
      </c>
      <c r="D340" s="774">
        <v>1000</v>
      </c>
      <c r="E340" s="774" t="s">
        <v>1395</v>
      </c>
      <c r="F340" s="774" t="s">
        <v>1437</v>
      </c>
      <c r="G340" s="777">
        <v>272.7</v>
      </c>
      <c r="H340" s="14" t="s">
        <v>872</v>
      </c>
      <c r="I340" s="14" t="s">
        <v>879</v>
      </c>
      <c r="J340" s="14" t="s">
        <v>876</v>
      </c>
      <c r="K340" s="14" t="s">
        <v>877</v>
      </c>
    </row>
    <row r="341" spans="1:11" x14ac:dyDescent="0.25">
      <c r="A341" s="774">
        <v>56231</v>
      </c>
      <c r="B341" s="774">
        <v>1220</v>
      </c>
      <c r="C341" s="774">
        <v>200</v>
      </c>
      <c r="D341" s="774">
        <v>2100</v>
      </c>
      <c r="E341" s="774" t="s">
        <v>1395</v>
      </c>
      <c r="F341" s="774" t="s">
        <v>1437</v>
      </c>
      <c r="G341" s="777">
        <v>4555.09</v>
      </c>
      <c r="H341" s="14" t="s">
        <v>914</v>
      </c>
      <c r="I341" s="14" t="s">
        <v>879</v>
      </c>
      <c r="J341" s="14" t="s">
        <v>884</v>
      </c>
      <c r="K341" s="14" t="s">
        <v>877</v>
      </c>
    </row>
    <row r="342" spans="1:11" hidden="1" x14ac:dyDescent="0.25">
      <c r="A342" s="774">
        <v>56231</v>
      </c>
      <c r="B342" s="774">
        <v>1487</v>
      </c>
      <c r="C342" s="774">
        <v>100</v>
      </c>
      <c r="D342" s="774">
        <v>2100</v>
      </c>
      <c r="E342" s="774" t="s">
        <v>1395</v>
      </c>
      <c r="F342" s="774" t="s">
        <v>1437</v>
      </c>
      <c r="G342" s="777">
        <v>7253.48</v>
      </c>
      <c r="H342" s="14" t="s">
        <v>974</v>
      </c>
      <c r="I342" s="14" t="s">
        <v>875</v>
      </c>
      <c r="J342" s="14" t="s">
        <v>884</v>
      </c>
      <c r="K342" s="14" t="s">
        <v>877</v>
      </c>
    </row>
    <row r="343" spans="1:11" hidden="1" x14ac:dyDescent="0.25">
      <c r="A343" s="774">
        <v>56231</v>
      </c>
      <c r="B343" s="774">
        <v>1534</v>
      </c>
      <c r="C343" s="774">
        <v>400</v>
      </c>
      <c r="D343" s="774">
        <v>2700</v>
      </c>
      <c r="E343" s="774" t="s">
        <v>1395</v>
      </c>
      <c r="F343" s="774" t="s">
        <v>1437</v>
      </c>
      <c r="G343" s="777">
        <v>275.72000000000003</v>
      </c>
      <c r="H343" s="14" t="s">
        <v>978</v>
      </c>
      <c r="I343" s="14" t="s">
        <v>895</v>
      </c>
      <c r="J343" s="14" t="s">
        <v>916</v>
      </c>
      <c r="K343" s="14" t="s">
        <v>877</v>
      </c>
    </row>
    <row r="344" spans="1:11" hidden="1" x14ac:dyDescent="0.25">
      <c r="A344" s="774">
        <v>56231</v>
      </c>
      <c r="B344" s="774">
        <v>1542</v>
      </c>
      <c r="C344" s="774">
        <v>100</v>
      </c>
      <c r="D344" s="774">
        <v>2100</v>
      </c>
      <c r="E344" s="774" t="s">
        <v>1395</v>
      </c>
      <c r="F344" s="774" t="s">
        <v>1437</v>
      </c>
      <c r="G344" s="777">
        <v>202.67</v>
      </c>
      <c r="H344" s="14" t="s">
        <v>978</v>
      </c>
      <c r="I344" s="14" t="s">
        <v>875</v>
      </c>
      <c r="J344" s="14" t="s">
        <v>884</v>
      </c>
      <c r="K344" s="14" t="s">
        <v>877</v>
      </c>
    </row>
    <row r="345" spans="1:11" hidden="1" x14ac:dyDescent="0.25">
      <c r="A345" s="774">
        <v>56231</v>
      </c>
      <c r="B345" s="774">
        <v>1542</v>
      </c>
      <c r="C345" s="774">
        <v>100</v>
      </c>
      <c r="D345" s="774">
        <v>2500</v>
      </c>
      <c r="E345" s="774" t="s">
        <v>1395</v>
      </c>
      <c r="F345" s="774" t="s">
        <v>1437</v>
      </c>
      <c r="G345" s="777">
        <v>178.09</v>
      </c>
      <c r="H345" s="14" t="s">
        <v>978</v>
      </c>
      <c r="I345" s="14" t="s">
        <v>875</v>
      </c>
      <c r="J345" s="14" t="s">
        <v>908</v>
      </c>
      <c r="K345" s="14" t="s">
        <v>877</v>
      </c>
    </row>
    <row r="346" spans="1:11" hidden="1" x14ac:dyDescent="0.25">
      <c r="A346" s="774">
        <v>56231</v>
      </c>
      <c r="B346" s="774">
        <v>1737</v>
      </c>
      <c r="C346" s="774">
        <v>620</v>
      </c>
      <c r="D346" s="774">
        <v>1000</v>
      </c>
      <c r="E346" s="774" t="s">
        <v>1395</v>
      </c>
      <c r="F346" s="774" t="s">
        <v>1437</v>
      </c>
      <c r="G346" s="777">
        <v>218.16</v>
      </c>
      <c r="H346" s="14" t="s">
        <v>978</v>
      </c>
      <c r="I346" s="14" t="s">
        <v>923</v>
      </c>
      <c r="J346" s="14" t="s">
        <v>876</v>
      </c>
      <c r="K346" s="14" t="s">
        <v>877</v>
      </c>
    </row>
    <row r="347" spans="1:11" hidden="1" x14ac:dyDescent="0.25">
      <c r="A347" s="774">
        <v>56231</v>
      </c>
      <c r="B347" s="774">
        <v>1743</v>
      </c>
      <c r="C347" s="774">
        <v>620</v>
      </c>
      <c r="D347" s="774">
        <v>1000</v>
      </c>
      <c r="E347" s="774" t="s">
        <v>1395</v>
      </c>
      <c r="F347" s="774" t="s">
        <v>1437</v>
      </c>
      <c r="G347" s="777">
        <v>121.2</v>
      </c>
      <c r="H347" s="14" t="s">
        <v>978</v>
      </c>
      <c r="I347" s="14" t="s">
        <v>923</v>
      </c>
      <c r="J347" s="14" t="s">
        <v>876</v>
      </c>
      <c r="K347" s="14" t="s">
        <v>877</v>
      </c>
    </row>
    <row r="348" spans="1:11" hidden="1" x14ac:dyDescent="0.25">
      <c r="A348" s="774">
        <v>56231</v>
      </c>
      <c r="B348" s="774">
        <v>1751</v>
      </c>
      <c r="C348" s="774">
        <v>620</v>
      </c>
      <c r="D348" s="774">
        <v>1000</v>
      </c>
      <c r="E348" s="774" t="s">
        <v>1395</v>
      </c>
      <c r="F348" s="774" t="s">
        <v>1437</v>
      </c>
      <c r="G348" s="777">
        <v>109.08</v>
      </c>
      <c r="H348" s="14" t="s">
        <v>978</v>
      </c>
      <c r="I348" s="14" t="s">
        <v>923</v>
      </c>
      <c r="J348" s="14" t="s">
        <v>876</v>
      </c>
      <c r="K348" s="14" t="s">
        <v>877</v>
      </c>
    </row>
    <row r="349" spans="1:11" hidden="1" x14ac:dyDescent="0.25">
      <c r="A349" s="774">
        <v>56231</v>
      </c>
      <c r="B349" s="774">
        <v>1767</v>
      </c>
      <c r="C349" s="774">
        <v>620</v>
      </c>
      <c r="D349" s="774">
        <v>1000</v>
      </c>
      <c r="E349" s="774" t="s">
        <v>1395</v>
      </c>
      <c r="F349" s="774" t="s">
        <v>1437</v>
      </c>
      <c r="G349" s="777">
        <v>218.16</v>
      </c>
      <c r="H349" s="14" t="s">
        <v>978</v>
      </c>
      <c r="I349" s="14" t="s">
        <v>923</v>
      </c>
      <c r="J349" s="14" t="s">
        <v>876</v>
      </c>
      <c r="K349" s="14" t="s">
        <v>877</v>
      </c>
    </row>
    <row r="350" spans="1:11" hidden="1" x14ac:dyDescent="0.25">
      <c r="A350" s="774">
        <v>56231</v>
      </c>
      <c r="B350" s="774">
        <v>1805</v>
      </c>
      <c r="C350" s="774">
        <v>615</v>
      </c>
      <c r="D350" s="774">
        <v>1000</v>
      </c>
      <c r="E350" s="774" t="s">
        <v>1395</v>
      </c>
      <c r="F350" s="774" t="s">
        <v>1437</v>
      </c>
      <c r="G350" s="777">
        <v>152.72</v>
      </c>
      <c r="H350" s="14" t="s">
        <v>978</v>
      </c>
      <c r="I350" s="14" t="s">
        <v>919</v>
      </c>
      <c r="J350" s="14" t="s">
        <v>876</v>
      </c>
      <c r="K350" s="14" t="s">
        <v>877</v>
      </c>
    </row>
    <row r="351" spans="1:11" hidden="1" x14ac:dyDescent="0.25">
      <c r="A351" s="774">
        <v>56231</v>
      </c>
      <c r="B351" s="774">
        <v>1858</v>
      </c>
      <c r="C351" s="774">
        <v>615</v>
      </c>
      <c r="D351" s="774">
        <v>1000</v>
      </c>
      <c r="E351" s="774" t="s">
        <v>1395</v>
      </c>
      <c r="F351" s="774" t="s">
        <v>1437</v>
      </c>
      <c r="G351" s="777">
        <v>153.47999999999999</v>
      </c>
      <c r="H351" s="14" t="s">
        <v>978</v>
      </c>
      <c r="I351" s="14" t="s">
        <v>919</v>
      </c>
      <c r="J351" s="14" t="s">
        <v>876</v>
      </c>
      <c r="K351" s="14" t="s">
        <v>877</v>
      </c>
    </row>
    <row r="352" spans="1:11" hidden="1" x14ac:dyDescent="0.25">
      <c r="A352" s="774">
        <v>56231</v>
      </c>
      <c r="B352" s="774">
        <v>1910</v>
      </c>
      <c r="C352" s="774">
        <v>615</v>
      </c>
      <c r="D352" s="774">
        <v>1000</v>
      </c>
      <c r="E352" s="774" t="s">
        <v>1395</v>
      </c>
      <c r="F352" s="774" t="s">
        <v>1437</v>
      </c>
      <c r="G352" s="777">
        <v>76.36</v>
      </c>
      <c r="H352" s="14" t="s">
        <v>978</v>
      </c>
      <c r="I352" s="14" t="s">
        <v>919</v>
      </c>
      <c r="J352" s="14" t="s">
        <v>876</v>
      </c>
      <c r="K352" s="14" t="s">
        <v>877</v>
      </c>
    </row>
    <row r="353" spans="1:11" hidden="1" x14ac:dyDescent="0.25">
      <c r="A353" s="774">
        <v>56232</v>
      </c>
      <c r="B353" s="774">
        <v>1000</v>
      </c>
      <c r="C353" s="774">
        <v>100</v>
      </c>
      <c r="D353" s="774">
        <v>1000</v>
      </c>
      <c r="E353" s="774" t="s">
        <v>1395</v>
      </c>
      <c r="F353" s="774" t="s">
        <v>1438</v>
      </c>
      <c r="G353" s="777">
        <v>1450.34</v>
      </c>
      <c r="H353" s="14" t="s">
        <v>871</v>
      </c>
      <c r="I353" s="14" t="s">
        <v>875</v>
      </c>
      <c r="J353" s="14" t="s">
        <v>876</v>
      </c>
      <c r="K353" s="14" t="s">
        <v>877</v>
      </c>
    </row>
    <row r="354" spans="1:11" hidden="1" x14ac:dyDescent="0.25">
      <c r="A354" s="774">
        <v>56232</v>
      </c>
      <c r="B354" s="774">
        <v>1000</v>
      </c>
      <c r="C354" s="774">
        <v>100</v>
      </c>
      <c r="D354" s="774">
        <v>2100</v>
      </c>
      <c r="E354" s="774" t="s">
        <v>1395</v>
      </c>
      <c r="F354" s="774" t="s">
        <v>1438</v>
      </c>
      <c r="G354" s="777">
        <v>217.43</v>
      </c>
      <c r="H354" s="14" t="s">
        <v>871</v>
      </c>
      <c r="I354" s="14" t="s">
        <v>875</v>
      </c>
      <c r="J354" s="14" t="s">
        <v>884</v>
      </c>
      <c r="K354" s="14" t="s">
        <v>877</v>
      </c>
    </row>
    <row r="355" spans="1:11" hidden="1" x14ac:dyDescent="0.25">
      <c r="A355" s="774">
        <v>56232</v>
      </c>
      <c r="B355" s="774">
        <v>1000</v>
      </c>
      <c r="C355" s="774">
        <v>100</v>
      </c>
      <c r="D355" s="774">
        <v>2110</v>
      </c>
      <c r="E355" s="774" t="s">
        <v>1395</v>
      </c>
      <c r="F355" s="774" t="s">
        <v>1438</v>
      </c>
      <c r="G355" s="777">
        <v>6.15</v>
      </c>
      <c r="H355" s="14" t="s">
        <v>871</v>
      </c>
      <c r="I355" s="14" t="s">
        <v>875</v>
      </c>
      <c r="J355" s="14" t="s">
        <v>884</v>
      </c>
      <c r="K355" s="14" t="s">
        <v>877</v>
      </c>
    </row>
    <row r="356" spans="1:11" hidden="1" x14ac:dyDescent="0.25">
      <c r="A356" s="774">
        <v>56232</v>
      </c>
      <c r="B356" s="774">
        <v>1000</v>
      </c>
      <c r="C356" s="774">
        <v>100</v>
      </c>
      <c r="D356" s="774">
        <v>2200</v>
      </c>
      <c r="E356" s="774" t="s">
        <v>1395</v>
      </c>
      <c r="F356" s="774" t="s">
        <v>1438</v>
      </c>
      <c r="G356" s="777">
        <v>46.75</v>
      </c>
      <c r="H356" s="14" t="s">
        <v>871</v>
      </c>
      <c r="I356" s="14" t="s">
        <v>875</v>
      </c>
      <c r="J356" s="14" t="s">
        <v>888</v>
      </c>
      <c r="K356" s="14" t="s">
        <v>877</v>
      </c>
    </row>
    <row r="357" spans="1:11" hidden="1" x14ac:dyDescent="0.25">
      <c r="A357" s="774">
        <v>56232</v>
      </c>
      <c r="B357" s="774">
        <v>1000</v>
      </c>
      <c r="C357" s="774">
        <v>100</v>
      </c>
      <c r="D357" s="774">
        <v>2300</v>
      </c>
      <c r="E357" s="774" t="s">
        <v>1395</v>
      </c>
      <c r="F357" s="774" t="s">
        <v>1438</v>
      </c>
      <c r="G357" s="777">
        <v>27.24</v>
      </c>
      <c r="H357" s="14" t="s">
        <v>871</v>
      </c>
      <c r="I357" s="14" t="s">
        <v>875</v>
      </c>
      <c r="J357" s="14" t="s">
        <v>900</v>
      </c>
      <c r="K357" s="14" t="s">
        <v>877</v>
      </c>
    </row>
    <row r="358" spans="1:11" hidden="1" x14ac:dyDescent="0.25">
      <c r="A358" s="774">
        <v>56232</v>
      </c>
      <c r="B358" s="774">
        <v>1000</v>
      </c>
      <c r="C358" s="774">
        <v>100</v>
      </c>
      <c r="D358" s="774">
        <v>2310</v>
      </c>
      <c r="E358" s="774" t="s">
        <v>1395</v>
      </c>
      <c r="F358" s="774" t="s">
        <v>1438</v>
      </c>
      <c r="G358" s="777">
        <v>5.59</v>
      </c>
      <c r="H358" s="14" t="s">
        <v>871</v>
      </c>
      <c r="I358" s="14" t="s">
        <v>875</v>
      </c>
      <c r="J358" s="14" t="s">
        <v>900</v>
      </c>
      <c r="K358" s="14" t="s">
        <v>877</v>
      </c>
    </row>
    <row r="359" spans="1:11" hidden="1" x14ac:dyDescent="0.25">
      <c r="A359" s="774">
        <v>56232</v>
      </c>
      <c r="B359" s="774">
        <v>1000</v>
      </c>
      <c r="C359" s="774">
        <v>100</v>
      </c>
      <c r="D359" s="774">
        <v>2400</v>
      </c>
      <c r="E359" s="774" t="s">
        <v>1395</v>
      </c>
      <c r="F359" s="774" t="s">
        <v>1438</v>
      </c>
      <c r="G359" s="777">
        <v>77.14</v>
      </c>
      <c r="H359" s="14" t="s">
        <v>871</v>
      </c>
      <c r="I359" s="14" t="s">
        <v>875</v>
      </c>
      <c r="J359" s="14" t="s">
        <v>904</v>
      </c>
      <c r="K359" s="14" t="s">
        <v>877</v>
      </c>
    </row>
    <row r="360" spans="1:11" hidden="1" x14ac:dyDescent="0.25">
      <c r="A360" s="774">
        <v>56232</v>
      </c>
      <c r="B360" s="774">
        <v>1000</v>
      </c>
      <c r="C360" s="774">
        <v>100</v>
      </c>
      <c r="D360" s="774">
        <v>2410</v>
      </c>
      <c r="E360" s="774" t="s">
        <v>1395</v>
      </c>
      <c r="F360" s="774" t="s">
        <v>1438</v>
      </c>
      <c r="G360" s="777">
        <v>8.48</v>
      </c>
      <c r="H360" s="14" t="s">
        <v>871</v>
      </c>
      <c r="I360" s="14" t="s">
        <v>875</v>
      </c>
      <c r="J360" s="14" t="s">
        <v>904</v>
      </c>
      <c r="K360" s="14" t="s">
        <v>877</v>
      </c>
    </row>
    <row r="361" spans="1:11" hidden="1" x14ac:dyDescent="0.25">
      <c r="A361" s="774">
        <v>56232</v>
      </c>
      <c r="B361" s="774">
        <v>1000</v>
      </c>
      <c r="C361" s="774">
        <v>100</v>
      </c>
      <c r="D361" s="774">
        <v>2500</v>
      </c>
      <c r="E361" s="774" t="s">
        <v>1395</v>
      </c>
      <c r="F361" s="774" t="s">
        <v>1438</v>
      </c>
      <c r="G361" s="777">
        <v>382.73</v>
      </c>
      <c r="H361" s="14" t="s">
        <v>871</v>
      </c>
      <c r="I361" s="14" t="s">
        <v>875</v>
      </c>
      <c r="J361" s="14" t="s">
        <v>908</v>
      </c>
      <c r="K361" s="14" t="s">
        <v>877</v>
      </c>
    </row>
    <row r="362" spans="1:11" hidden="1" x14ac:dyDescent="0.25">
      <c r="A362" s="774">
        <v>56232</v>
      </c>
      <c r="B362" s="774">
        <v>1000</v>
      </c>
      <c r="C362" s="774">
        <v>100</v>
      </c>
      <c r="D362" s="774">
        <v>2510</v>
      </c>
      <c r="E362" s="774" t="s">
        <v>1395</v>
      </c>
      <c r="F362" s="774" t="s">
        <v>1438</v>
      </c>
      <c r="G362" s="777">
        <v>5.0199999999999996</v>
      </c>
      <c r="H362" s="14" t="s">
        <v>871</v>
      </c>
      <c r="I362" s="14" t="s">
        <v>875</v>
      </c>
      <c r="J362" s="14" t="s">
        <v>908</v>
      </c>
      <c r="K362" s="14" t="s">
        <v>877</v>
      </c>
    </row>
    <row r="363" spans="1:11" hidden="1" x14ac:dyDescent="0.25">
      <c r="A363" s="774">
        <v>56232</v>
      </c>
      <c r="B363" s="774">
        <v>1000</v>
      </c>
      <c r="C363" s="774">
        <v>100</v>
      </c>
      <c r="D363" s="774">
        <v>2600</v>
      </c>
      <c r="E363" s="774" t="s">
        <v>1395</v>
      </c>
      <c r="F363" s="774" t="s">
        <v>1438</v>
      </c>
      <c r="G363" s="777">
        <v>34.1</v>
      </c>
      <c r="H363" s="14" t="s">
        <v>871</v>
      </c>
      <c r="I363" s="14" t="s">
        <v>875</v>
      </c>
      <c r="J363" s="14" t="s">
        <v>912</v>
      </c>
      <c r="K363" s="14" t="s">
        <v>877</v>
      </c>
    </row>
    <row r="364" spans="1:11" hidden="1" x14ac:dyDescent="0.25">
      <c r="A364" s="774">
        <v>56232</v>
      </c>
      <c r="B364" s="774">
        <v>1000</v>
      </c>
      <c r="C364" s="774">
        <v>100</v>
      </c>
      <c r="D364" s="774">
        <v>3100</v>
      </c>
      <c r="E364" s="774" t="s">
        <v>1395</v>
      </c>
      <c r="F364" s="774" t="s">
        <v>1438</v>
      </c>
      <c r="G364" s="777">
        <v>0.06</v>
      </c>
      <c r="H364" s="14" t="s">
        <v>871</v>
      </c>
      <c r="I364" s="14" t="s">
        <v>875</v>
      </c>
      <c r="J364" s="14" t="s">
        <v>924</v>
      </c>
      <c r="K364" s="14" t="s">
        <v>877</v>
      </c>
    </row>
    <row r="365" spans="1:11" hidden="1" x14ac:dyDescent="0.25">
      <c r="A365" s="774">
        <v>56232</v>
      </c>
      <c r="B365" s="774">
        <v>1000</v>
      </c>
      <c r="C365" s="774">
        <v>200</v>
      </c>
      <c r="D365" s="774">
        <v>1000</v>
      </c>
      <c r="E365" s="774" t="s">
        <v>1395</v>
      </c>
      <c r="F365" s="774" t="s">
        <v>1438</v>
      </c>
      <c r="G365" s="777">
        <v>332.82</v>
      </c>
      <c r="H365" s="14" t="s">
        <v>871</v>
      </c>
      <c r="I365" s="14" t="s">
        <v>879</v>
      </c>
      <c r="J365" s="14" t="s">
        <v>876</v>
      </c>
      <c r="K365" s="14" t="s">
        <v>877</v>
      </c>
    </row>
    <row r="366" spans="1:11" hidden="1" x14ac:dyDescent="0.25">
      <c r="A366" s="774">
        <v>56232</v>
      </c>
      <c r="B366" s="774">
        <v>1000</v>
      </c>
      <c r="C366" s="774">
        <v>200</v>
      </c>
      <c r="D366" s="774">
        <v>2100</v>
      </c>
      <c r="E366" s="774" t="s">
        <v>1395</v>
      </c>
      <c r="F366" s="774" t="s">
        <v>1438</v>
      </c>
      <c r="G366" s="777">
        <v>101.06</v>
      </c>
      <c r="H366" s="14" t="s">
        <v>871</v>
      </c>
      <c r="I366" s="14" t="s">
        <v>879</v>
      </c>
      <c r="J366" s="14" t="s">
        <v>884</v>
      </c>
      <c r="K366" s="14" t="s">
        <v>877</v>
      </c>
    </row>
    <row r="367" spans="1:11" hidden="1" x14ac:dyDescent="0.25">
      <c r="A367" s="774">
        <v>56232</v>
      </c>
      <c r="B367" s="774">
        <v>1000</v>
      </c>
      <c r="C367" s="774">
        <v>240</v>
      </c>
      <c r="D367" s="774">
        <v>1000</v>
      </c>
      <c r="E367" s="774" t="s">
        <v>1395</v>
      </c>
      <c r="F367" s="774" t="s">
        <v>1438</v>
      </c>
      <c r="G367" s="777">
        <v>50.32</v>
      </c>
      <c r="H367" s="14" t="s">
        <v>871</v>
      </c>
      <c r="I367" s="14" t="s">
        <v>879</v>
      </c>
      <c r="J367" s="14" t="s">
        <v>876</v>
      </c>
      <c r="K367" s="14" t="s">
        <v>877</v>
      </c>
    </row>
    <row r="368" spans="1:11" hidden="1" x14ac:dyDescent="0.25">
      <c r="A368" s="774">
        <v>56232</v>
      </c>
      <c r="B368" s="774">
        <v>1000</v>
      </c>
      <c r="C368" s="774">
        <v>400</v>
      </c>
      <c r="D368" s="774">
        <v>2700</v>
      </c>
      <c r="E368" s="774" t="s">
        <v>1395</v>
      </c>
      <c r="F368" s="774" t="s">
        <v>1438</v>
      </c>
      <c r="G368" s="777">
        <v>0.72</v>
      </c>
      <c r="H368" s="14" t="s">
        <v>871</v>
      </c>
      <c r="I368" s="14" t="s">
        <v>895</v>
      </c>
      <c r="J368" s="14" t="s">
        <v>916</v>
      </c>
      <c r="K368" s="14" t="s">
        <v>877</v>
      </c>
    </row>
    <row r="369" spans="1:11" hidden="1" x14ac:dyDescent="0.25">
      <c r="A369" s="774">
        <v>56232</v>
      </c>
      <c r="B369" s="774">
        <v>1000</v>
      </c>
      <c r="C369" s="774">
        <v>615</v>
      </c>
      <c r="D369" s="774">
        <v>1000</v>
      </c>
      <c r="E369" s="774" t="s">
        <v>1395</v>
      </c>
      <c r="F369" s="774" t="s">
        <v>1438</v>
      </c>
      <c r="G369" s="777">
        <v>-0.27</v>
      </c>
      <c r="H369" s="14" t="s">
        <v>871</v>
      </c>
      <c r="I369" s="14" t="s">
        <v>919</v>
      </c>
      <c r="J369" s="14" t="s">
        <v>876</v>
      </c>
      <c r="K369" s="14" t="s">
        <v>877</v>
      </c>
    </row>
    <row r="370" spans="1:11" hidden="1" x14ac:dyDescent="0.25">
      <c r="A370" s="774">
        <v>56232</v>
      </c>
      <c r="B370" s="774">
        <v>1000</v>
      </c>
      <c r="C370" s="774">
        <v>620</v>
      </c>
      <c r="D370" s="774">
        <v>2100</v>
      </c>
      <c r="E370" s="774" t="s">
        <v>1395</v>
      </c>
      <c r="F370" s="774" t="s">
        <v>1438</v>
      </c>
      <c r="G370" s="777">
        <v>1.48</v>
      </c>
      <c r="H370" s="14" t="s">
        <v>871</v>
      </c>
      <c r="I370" s="14" t="s">
        <v>923</v>
      </c>
      <c r="J370" s="14" t="s">
        <v>884</v>
      </c>
      <c r="K370" s="14" t="s">
        <v>877</v>
      </c>
    </row>
    <row r="371" spans="1:11" hidden="1" x14ac:dyDescent="0.25">
      <c r="A371" s="774">
        <v>56232</v>
      </c>
      <c r="B371" s="774">
        <v>1012</v>
      </c>
      <c r="C371" s="774">
        <v>100</v>
      </c>
      <c r="D371" s="774">
        <v>1000</v>
      </c>
      <c r="E371" s="774" t="s">
        <v>1395</v>
      </c>
      <c r="F371" s="774" t="s">
        <v>1438</v>
      </c>
      <c r="G371" s="777">
        <v>351.77</v>
      </c>
      <c r="H371" s="14" t="s">
        <v>872</v>
      </c>
      <c r="I371" s="14" t="s">
        <v>875</v>
      </c>
      <c r="J371" s="14" t="s">
        <v>876</v>
      </c>
      <c r="K371" s="14" t="s">
        <v>877</v>
      </c>
    </row>
    <row r="372" spans="1:11" hidden="1" x14ac:dyDescent="0.25">
      <c r="A372" s="774">
        <v>56232</v>
      </c>
      <c r="B372" s="774">
        <v>1012</v>
      </c>
      <c r="C372" s="774">
        <v>200</v>
      </c>
      <c r="D372" s="774">
        <v>2100</v>
      </c>
      <c r="E372" s="774" t="s">
        <v>1395</v>
      </c>
      <c r="F372" s="774" t="s">
        <v>1438</v>
      </c>
      <c r="G372" s="777">
        <v>21.39</v>
      </c>
      <c r="H372" s="14" t="s">
        <v>872</v>
      </c>
      <c r="I372" s="14" t="s">
        <v>879</v>
      </c>
      <c r="J372" s="14" t="s">
        <v>884</v>
      </c>
      <c r="K372" s="14" t="s">
        <v>877</v>
      </c>
    </row>
    <row r="373" spans="1:11" hidden="1" x14ac:dyDescent="0.25">
      <c r="A373" s="774">
        <v>56232</v>
      </c>
      <c r="B373" s="774">
        <v>1012</v>
      </c>
      <c r="C373" s="774">
        <v>240</v>
      </c>
      <c r="D373" s="774">
        <v>1000</v>
      </c>
      <c r="E373" s="774" t="s">
        <v>1395</v>
      </c>
      <c r="F373" s="774" t="s">
        <v>1438</v>
      </c>
      <c r="G373" s="777">
        <v>3.38</v>
      </c>
      <c r="H373" s="14" t="s">
        <v>872</v>
      </c>
      <c r="I373" s="14" t="s">
        <v>879</v>
      </c>
      <c r="J373" s="14" t="s">
        <v>876</v>
      </c>
      <c r="K373" s="14" t="s">
        <v>877</v>
      </c>
    </row>
    <row r="374" spans="1:11" x14ac:dyDescent="0.25">
      <c r="A374" s="774">
        <v>56232</v>
      </c>
      <c r="B374" s="774">
        <v>1220</v>
      </c>
      <c r="C374" s="774">
        <v>200</v>
      </c>
      <c r="D374" s="774">
        <v>2100</v>
      </c>
      <c r="E374" s="774" t="s">
        <v>1395</v>
      </c>
      <c r="F374" s="774" t="s">
        <v>1438</v>
      </c>
      <c r="G374" s="777">
        <v>56.5</v>
      </c>
      <c r="H374" s="14" t="s">
        <v>914</v>
      </c>
      <c r="I374" s="14" t="s">
        <v>879</v>
      </c>
      <c r="J374" s="14" t="s">
        <v>884</v>
      </c>
      <c r="K374" s="14" t="s">
        <v>877</v>
      </c>
    </row>
    <row r="375" spans="1:11" hidden="1" x14ac:dyDescent="0.25">
      <c r="A375" s="774">
        <v>56232</v>
      </c>
      <c r="B375" s="774">
        <v>1487</v>
      </c>
      <c r="C375" s="774">
        <v>100</v>
      </c>
      <c r="D375" s="774">
        <v>2100</v>
      </c>
      <c r="E375" s="774" t="s">
        <v>1395</v>
      </c>
      <c r="F375" s="774" t="s">
        <v>1438</v>
      </c>
      <c r="G375" s="777">
        <v>89.78</v>
      </c>
      <c r="H375" s="14" t="s">
        <v>974</v>
      </c>
      <c r="I375" s="14" t="s">
        <v>875</v>
      </c>
      <c r="J375" s="14" t="s">
        <v>884</v>
      </c>
      <c r="K375" s="14" t="s">
        <v>877</v>
      </c>
    </row>
    <row r="376" spans="1:11" hidden="1" x14ac:dyDescent="0.25">
      <c r="A376" s="774">
        <v>56232</v>
      </c>
      <c r="B376" s="774">
        <v>1534</v>
      </c>
      <c r="C376" s="774">
        <v>400</v>
      </c>
      <c r="D376" s="774">
        <v>2700</v>
      </c>
      <c r="E376" s="774" t="s">
        <v>1395</v>
      </c>
      <c r="F376" s="774" t="s">
        <v>1438</v>
      </c>
      <c r="G376" s="777">
        <v>3.46</v>
      </c>
      <c r="H376" s="14" t="s">
        <v>978</v>
      </c>
      <c r="I376" s="14" t="s">
        <v>895</v>
      </c>
      <c r="J376" s="14" t="s">
        <v>916</v>
      </c>
      <c r="K376" s="14" t="s">
        <v>877</v>
      </c>
    </row>
    <row r="377" spans="1:11" hidden="1" x14ac:dyDescent="0.25">
      <c r="A377" s="774">
        <v>56232</v>
      </c>
      <c r="B377" s="774">
        <v>1542</v>
      </c>
      <c r="C377" s="774">
        <v>100</v>
      </c>
      <c r="D377" s="774">
        <v>2100</v>
      </c>
      <c r="E377" s="774" t="s">
        <v>1395</v>
      </c>
      <c r="F377" s="774" t="s">
        <v>1438</v>
      </c>
      <c r="G377" s="777">
        <v>2.5</v>
      </c>
      <c r="H377" s="14" t="s">
        <v>978</v>
      </c>
      <c r="I377" s="14" t="s">
        <v>875</v>
      </c>
      <c r="J377" s="14" t="s">
        <v>884</v>
      </c>
      <c r="K377" s="14" t="s">
        <v>877</v>
      </c>
    </row>
    <row r="378" spans="1:11" hidden="1" x14ac:dyDescent="0.25">
      <c r="A378" s="774">
        <v>56232</v>
      </c>
      <c r="B378" s="774">
        <v>1542</v>
      </c>
      <c r="C378" s="774">
        <v>100</v>
      </c>
      <c r="D378" s="774">
        <v>2500</v>
      </c>
      <c r="E378" s="774" t="s">
        <v>1395</v>
      </c>
      <c r="F378" s="774" t="s">
        <v>1438</v>
      </c>
      <c r="G378" s="777">
        <v>2.21</v>
      </c>
      <c r="H378" s="14" t="s">
        <v>978</v>
      </c>
      <c r="I378" s="14" t="s">
        <v>875</v>
      </c>
      <c r="J378" s="14" t="s">
        <v>908</v>
      </c>
      <c r="K378" s="14" t="s">
        <v>877</v>
      </c>
    </row>
    <row r="379" spans="1:11" hidden="1" x14ac:dyDescent="0.25">
      <c r="A379" s="774">
        <v>56232</v>
      </c>
      <c r="B379" s="774">
        <v>1737</v>
      </c>
      <c r="C379" s="774">
        <v>620</v>
      </c>
      <c r="D379" s="774">
        <v>1000</v>
      </c>
      <c r="E379" s="774" t="s">
        <v>1395</v>
      </c>
      <c r="F379" s="774" t="s">
        <v>1438</v>
      </c>
      <c r="G379" s="777">
        <v>2.7</v>
      </c>
      <c r="H379" s="14" t="s">
        <v>978</v>
      </c>
      <c r="I379" s="14" t="s">
        <v>923</v>
      </c>
      <c r="J379" s="14" t="s">
        <v>876</v>
      </c>
      <c r="K379" s="14" t="s">
        <v>877</v>
      </c>
    </row>
    <row r="380" spans="1:11" hidden="1" x14ac:dyDescent="0.25">
      <c r="A380" s="774">
        <v>56232</v>
      </c>
      <c r="B380" s="774">
        <v>1743</v>
      </c>
      <c r="C380" s="774">
        <v>620</v>
      </c>
      <c r="D380" s="774">
        <v>1000</v>
      </c>
      <c r="E380" s="774" t="s">
        <v>1395</v>
      </c>
      <c r="F380" s="774" t="s">
        <v>1438</v>
      </c>
      <c r="G380" s="777">
        <v>1.5</v>
      </c>
      <c r="H380" s="14" t="s">
        <v>978</v>
      </c>
      <c r="I380" s="14" t="s">
        <v>923</v>
      </c>
      <c r="J380" s="14" t="s">
        <v>876</v>
      </c>
      <c r="K380" s="14" t="s">
        <v>877</v>
      </c>
    </row>
    <row r="381" spans="1:11" hidden="1" x14ac:dyDescent="0.25">
      <c r="A381" s="774">
        <v>56232</v>
      </c>
      <c r="B381" s="774">
        <v>1751</v>
      </c>
      <c r="C381" s="774">
        <v>620</v>
      </c>
      <c r="D381" s="774">
        <v>1000</v>
      </c>
      <c r="E381" s="774" t="s">
        <v>1395</v>
      </c>
      <c r="F381" s="774" t="s">
        <v>1438</v>
      </c>
      <c r="G381" s="777">
        <v>1.35</v>
      </c>
      <c r="H381" s="14" t="s">
        <v>978</v>
      </c>
      <c r="I381" s="14" t="s">
        <v>923</v>
      </c>
      <c r="J381" s="14" t="s">
        <v>876</v>
      </c>
      <c r="K381" s="14" t="s">
        <v>877</v>
      </c>
    </row>
    <row r="382" spans="1:11" hidden="1" x14ac:dyDescent="0.25">
      <c r="A382" s="774">
        <v>56232</v>
      </c>
      <c r="B382" s="774">
        <v>1767</v>
      </c>
      <c r="C382" s="774">
        <v>620</v>
      </c>
      <c r="D382" s="774">
        <v>1000</v>
      </c>
      <c r="E382" s="774" t="s">
        <v>1395</v>
      </c>
      <c r="F382" s="774" t="s">
        <v>1438</v>
      </c>
      <c r="G382" s="777">
        <v>2.7</v>
      </c>
      <c r="H382" s="14" t="s">
        <v>978</v>
      </c>
      <c r="I382" s="14" t="s">
        <v>923</v>
      </c>
      <c r="J382" s="14" t="s">
        <v>876</v>
      </c>
      <c r="K382" s="14" t="s">
        <v>877</v>
      </c>
    </row>
    <row r="383" spans="1:11" hidden="1" x14ac:dyDescent="0.25">
      <c r="A383" s="774">
        <v>56232</v>
      </c>
      <c r="B383" s="774">
        <v>1805</v>
      </c>
      <c r="C383" s="774">
        <v>615</v>
      </c>
      <c r="D383" s="774">
        <v>1000</v>
      </c>
      <c r="E383" s="774" t="s">
        <v>1395</v>
      </c>
      <c r="F383" s="774" t="s">
        <v>1438</v>
      </c>
      <c r="G383" s="777">
        <v>1.9</v>
      </c>
      <c r="H383" s="14" t="s">
        <v>978</v>
      </c>
      <c r="I383" s="14" t="s">
        <v>919</v>
      </c>
      <c r="J383" s="14" t="s">
        <v>876</v>
      </c>
      <c r="K383" s="14" t="s">
        <v>877</v>
      </c>
    </row>
    <row r="384" spans="1:11" hidden="1" x14ac:dyDescent="0.25">
      <c r="A384" s="774">
        <v>56232</v>
      </c>
      <c r="B384" s="774">
        <v>1858</v>
      </c>
      <c r="C384" s="774">
        <v>615</v>
      </c>
      <c r="D384" s="774">
        <v>1000</v>
      </c>
      <c r="E384" s="774" t="s">
        <v>1395</v>
      </c>
      <c r="F384" s="774" t="s">
        <v>1438</v>
      </c>
      <c r="G384" s="777">
        <v>1.9</v>
      </c>
      <c r="H384" s="14" t="s">
        <v>978</v>
      </c>
      <c r="I384" s="14" t="s">
        <v>919</v>
      </c>
      <c r="J384" s="14" t="s">
        <v>876</v>
      </c>
      <c r="K384" s="14" t="s">
        <v>877</v>
      </c>
    </row>
    <row r="385" spans="1:11" hidden="1" x14ac:dyDescent="0.25">
      <c r="A385" s="774">
        <v>56232</v>
      </c>
      <c r="B385" s="774">
        <v>1910</v>
      </c>
      <c r="C385" s="774">
        <v>615</v>
      </c>
      <c r="D385" s="774">
        <v>1000</v>
      </c>
      <c r="E385" s="774" t="s">
        <v>1395</v>
      </c>
      <c r="F385" s="774" t="s">
        <v>1438</v>
      </c>
      <c r="G385" s="777">
        <v>0.94</v>
      </c>
      <c r="H385" s="14" t="s">
        <v>978</v>
      </c>
      <c r="I385" s="14" t="s">
        <v>919</v>
      </c>
      <c r="J385" s="14" t="s">
        <v>876</v>
      </c>
      <c r="K385" s="14" t="s">
        <v>877</v>
      </c>
    </row>
    <row r="386" spans="1:11" hidden="1" x14ac:dyDescent="0.25">
      <c r="A386" s="774">
        <v>56250</v>
      </c>
      <c r="B386" s="774">
        <v>1000</v>
      </c>
      <c r="C386" s="774">
        <v>100</v>
      </c>
      <c r="D386" s="774">
        <v>2500</v>
      </c>
      <c r="E386" s="774" t="s">
        <v>1395</v>
      </c>
      <c r="F386" s="774" t="s">
        <v>1439</v>
      </c>
      <c r="G386" s="777">
        <v>2858.25</v>
      </c>
      <c r="H386" s="14" t="s">
        <v>871</v>
      </c>
      <c r="I386" s="14" t="s">
        <v>875</v>
      </c>
      <c r="J386" s="14" t="s">
        <v>908</v>
      </c>
      <c r="K386" s="14" t="s">
        <v>877</v>
      </c>
    </row>
    <row r="387" spans="1:11" hidden="1" x14ac:dyDescent="0.25">
      <c r="A387" s="774">
        <v>56260</v>
      </c>
      <c r="B387" s="774">
        <v>1000</v>
      </c>
      <c r="C387" s="774">
        <v>100</v>
      </c>
      <c r="D387" s="774">
        <v>2500</v>
      </c>
      <c r="E387" s="774" t="s">
        <v>1395</v>
      </c>
      <c r="F387" s="774" t="s">
        <v>1440</v>
      </c>
      <c r="G387" s="777">
        <v>7445.28</v>
      </c>
      <c r="H387" s="14" t="s">
        <v>871</v>
      </c>
      <c r="I387" s="14" t="s">
        <v>875</v>
      </c>
      <c r="J387" s="14" t="s">
        <v>908</v>
      </c>
      <c r="K387" s="14" t="s">
        <v>877</v>
      </c>
    </row>
    <row r="388" spans="1:11" hidden="1" x14ac:dyDescent="0.25">
      <c r="A388" s="774">
        <v>56282</v>
      </c>
      <c r="B388" s="774">
        <v>1000</v>
      </c>
      <c r="C388" s="774">
        <v>100</v>
      </c>
      <c r="D388" s="774">
        <v>2100</v>
      </c>
      <c r="E388" s="774" t="s">
        <v>1395</v>
      </c>
      <c r="F388" s="774" t="s">
        <v>1441</v>
      </c>
      <c r="G388" s="777">
        <v>57.55</v>
      </c>
      <c r="H388" s="14" t="s">
        <v>871</v>
      </c>
      <c r="I388" s="14" t="s">
        <v>875</v>
      </c>
      <c r="J388" s="14" t="s">
        <v>884</v>
      </c>
      <c r="K388" s="14" t="s">
        <v>877</v>
      </c>
    </row>
    <row r="389" spans="1:11" hidden="1" x14ac:dyDescent="0.25">
      <c r="A389" s="774">
        <v>56282</v>
      </c>
      <c r="B389" s="774">
        <v>1000</v>
      </c>
      <c r="C389" s="774">
        <v>100</v>
      </c>
      <c r="D389" s="774">
        <v>2110</v>
      </c>
      <c r="E389" s="774" t="s">
        <v>1395</v>
      </c>
      <c r="F389" s="774" t="s">
        <v>1441</v>
      </c>
      <c r="G389" s="777">
        <v>1302.05</v>
      </c>
      <c r="H389" s="14" t="s">
        <v>871</v>
      </c>
      <c r="I389" s="14" t="s">
        <v>875</v>
      </c>
      <c r="J389" s="14" t="s">
        <v>884</v>
      </c>
      <c r="K389" s="14" t="s">
        <v>877</v>
      </c>
    </row>
    <row r="390" spans="1:11" hidden="1" x14ac:dyDescent="0.25">
      <c r="A390" s="774">
        <v>56282</v>
      </c>
      <c r="B390" s="774">
        <v>1000</v>
      </c>
      <c r="C390" s="774">
        <v>100</v>
      </c>
      <c r="D390" s="774">
        <v>2200</v>
      </c>
      <c r="E390" s="774" t="s">
        <v>1395</v>
      </c>
      <c r="F390" s="774" t="s">
        <v>1441</v>
      </c>
      <c r="G390" s="777">
        <v>1515.16</v>
      </c>
      <c r="H390" s="14" t="s">
        <v>871</v>
      </c>
      <c r="I390" s="14" t="s">
        <v>875</v>
      </c>
      <c r="J390" s="14" t="s">
        <v>888</v>
      </c>
      <c r="K390" s="14" t="s">
        <v>877</v>
      </c>
    </row>
    <row r="391" spans="1:11" hidden="1" x14ac:dyDescent="0.25">
      <c r="A391" s="774">
        <v>56282</v>
      </c>
      <c r="B391" s="774">
        <v>1000</v>
      </c>
      <c r="C391" s="774">
        <v>100</v>
      </c>
      <c r="D391" s="774">
        <v>2400</v>
      </c>
      <c r="E391" s="774" t="s">
        <v>1395</v>
      </c>
      <c r="F391" s="774" t="s">
        <v>1441</v>
      </c>
      <c r="G391" s="777">
        <v>4425.92</v>
      </c>
      <c r="H391" s="14" t="s">
        <v>871</v>
      </c>
      <c r="I391" s="14" t="s">
        <v>875</v>
      </c>
      <c r="J391" s="14" t="s">
        <v>904</v>
      </c>
      <c r="K391" s="14" t="s">
        <v>877</v>
      </c>
    </row>
    <row r="392" spans="1:11" hidden="1" x14ac:dyDescent="0.25">
      <c r="A392" s="774">
        <v>56282</v>
      </c>
      <c r="B392" s="774">
        <v>1000</v>
      </c>
      <c r="C392" s="774">
        <v>100</v>
      </c>
      <c r="D392" s="774">
        <v>2500</v>
      </c>
      <c r="E392" s="774" t="s">
        <v>1395</v>
      </c>
      <c r="F392" s="774" t="s">
        <v>1441</v>
      </c>
      <c r="G392" s="777">
        <v>2566.62</v>
      </c>
      <c r="H392" s="14" t="s">
        <v>871</v>
      </c>
      <c r="I392" s="14" t="s">
        <v>875</v>
      </c>
      <c r="J392" s="14" t="s">
        <v>908</v>
      </c>
      <c r="K392" s="14" t="s">
        <v>877</v>
      </c>
    </row>
    <row r="393" spans="1:11" hidden="1" x14ac:dyDescent="0.25">
      <c r="A393" s="774">
        <v>56282</v>
      </c>
      <c r="B393" s="774">
        <v>1000</v>
      </c>
      <c r="C393" s="774">
        <v>100</v>
      </c>
      <c r="D393" s="774">
        <v>2600</v>
      </c>
      <c r="E393" s="774" t="s">
        <v>1395</v>
      </c>
      <c r="F393" s="774" t="s">
        <v>1441</v>
      </c>
      <c r="G393" s="777">
        <v>17.809999999999999</v>
      </c>
      <c r="H393" s="14" t="s">
        <v>871</v>
      </c>
      <c r="I393" s="14" t="s">
        <v>875</v>
      </c>
      <c r="J393" s="14" t="s">
        <v>912</v>
      </c>
      <c r="K393" s="14" t="s">
        <v>877</v>
      </c>
    </row>
    <row r="394" spans="1:11" hidden="1" x14ac:dyDescent="0.25">
      <c r="A394" s="774">
        <v>56282</v>
      </c>
      <c r="B394" s="774">
        <v>1000</v>
      </c>
      <c r="C394" s="774">
        <v>400</v>
      </c>
      <c r="D394" s="774">
        <v>2700</v>
      </c>
      <c r="E394" s="774" t="s">
        <v>1395</v>
      </c>
      <c r="F394" s="774" t="s">
        <v>1441</v>
      </c>
      <c r="G394" s="777">
        <v>97</v>
      </c>
      <c r="H394" s="14" t="s">
        <v>871</v>
      </c>
      <c r="I394" s="14" t="s">
        <v>895</v>
      </c>
      <c r="J394" s="14" t="s">
        <v>916</v>
      </c>
      <c r="K394" s="14" t="s">
        <v>877</v>
      </c>
    </row>
    <row r="395" spans="1:11" hidden="1" x14ac:dyDescent="0.25">
      <c r="A395" s="774">
        <v>56282</v>
      </c>
      <c r="B395" s="774">
        <v>1534</v>
      </c>
      <c r="C395" s="774">
        <v>400</v>
      </c>
      <c r="D395" s="774">
        <v>2700</v>
      </c>
      <c r="E395" s="774" t="s">
        <v>1395</v>
      </c>
      <c r="F395" s="774" t="s">
        <v>1441</v>
      </c>
      <c r="G395" s="777">
        <v>0</v>
      </c>
      <c r="H395" s="14" t="s">
        <v>978</v>
      </c>
      <c r="I395" s="14" t="s">
        <v>895</v>
      </c>
      <c r="J395" s="14" t="s">
        <v>916</v>
      </c>
      <c r="K395" s="14" t="s">
        <v>877</v>
      </c>
    </row>
    <row r="396" spans="1:11" hidden="1" x14ac:dyDescent="0.25">
      <c r="A396" s="774">
        <v>56290</v>
      </c>
      <c r="B396" s="774">
        <v>1000</v>
      </c>
      <c r="C396" s="774">
        <v>100</v>
      </c>
      <c r="D396" s="774">
        <v>2500</v>
      </c>
      <c r="E396" s="774" t="s">
        <v>1395</v>
      </c>
      <c r="F396" s="774" t="s">
        <v>1442</v>
      </c>
      <c r="G396" s="777">
        <v>19.600000000000001</v>
      </c>
      <c r="H396" s="14" t="s">
        <v>871</v>
      </c>
      <c r="I396" s="14" t="s">
        <v>875</v>
      </c>
      <c r="J396" s="14" t="s">
        <v>908</v>
      </c>
      <c r="K396" s="14" t="s">
        <v>877</v>
      </c>
    </row>
    <row r="397" spans="1:11" hidden="1" x14ac:dyDescent="0.25">
      <c r="A397" s="774">
        <v>56291</v>
      </c>
      <c r="B397" s="774">
        <v>1000</v>
      </c>
      <c r="C397" s="774">
        <v>100</v>
      </c>
      <c r="D397" s="774">
        <v>2100</v>
      </c>
      <c r="E397" s="774" t="s">
        <v>1395</v>
      </c>
      <c r="F397" s="774" t="s">
        <v>1443</v>
      </c>
      <c r="G397" s="777">
        <v>1.02</v>
      </c>
      <c r="H397" s="14" t="s">
        <v>871</v>
      </c>
      <c r="I397" s="14" t="s">
        <v>875</v>
      </c>
      <c r="J397" s="14" t="s">
        <v>884</v>
      </c>
      <c r="K397" s="14" t="s">
        <v>877</v>
      </c>
    </row>
    <row r="398" spans="1:11" hidden="1" x14ac:dyDescent="0.25">
      <c r="A398" s="774">
        <v>56291</v>
      </c>
      <c r="B398" s="774">
        <v>1000</v>
      </c>
      <c r="C398" s="774">
        <v>100</v>
      </c>
      <c r="D398" s="774">
        <v>2300</v>
      </c>
      <c r="E398" s="774" t="s">
        <v>1395</v>
      </c>
      <c r="F398" s="774" t="s">
        <v>1443</v>
      </c>
      <c r="G398" s="777">
        <v>72.260000000000005</v>
      </c>
      <c r="H398" s="14" t="s">
        <v>871</v>
      </c>
      <c r="I398" s="14" t="s">
        <v>875</v>
      </c>
      <c r="J398" s="14" t="s">
        <v>900</v>
      </c>
      <c r="K398" s="14" t="s">
        <v>877</v>
      </c>
    </row>
    <row r="399" spans="1:11" hidden="1" x14ac:dyDescent="0.25">
      <c r="A399" s="774">
        <v>56291</v>
      </c>
      <c r="B399" s="774">
        <v>1000</v>
      </c>
      <c r="C399" s="774">
        <v>100</v>
      </c>
      <c r="D399" s="774">
        <v>2400</v>
      </c>
      <c r="E399" s="774" t="s">
        <v>1395</v>
      </c>
      <c r="F399" s="774" t="s">
        <v>1443</v>
      </c>
      <c r="G399" s="777">
        <v>5600</v>
      </c>
      <c r="H399" s="14" t="s">
        <v>871</v>
      </c>
      <c r="I399" s="14" t="s">
        <v>875</v>
      </c>
      <c r="J399" s="14" t="s">
        <v>904</v>
      </c>
      <c r="K399" s="14" t="s">
        <v>877</v>
      </c>
    </row>
    <row r="400" spans="1:11" hidden="1" x14ac:dyDescent="0.25">
      <c r="A400" s="774">
        <v>56291</v>
      </c>
      <c r="B400" s="774">
        <v>1000</v>
      </c>
      <c r="C400" s="774">
        <v>100</v>
      </c>
      <c r="D400" s="774">
        <v>2500</v>
      </c>
      <c r="E400" s="774" t="s">
        <v>1395</v>
      </c>
      <c r="F400" s="774" t="s">
        <v>1443</v>
      </c>
      <c r="G400" s="777">
        <v>337.54</v>
      </c>
      <c r="H400" s="14" t="s">
        <v>871</v>
      </c>
      <c r="I400" s="14" t="s">
        <v>875</v>
      </c>
      <c r="J400" s="14" t="s">
        <v>908</v>
      </c>
      <c r="K400" s="14" t="s">
        <v>877</v>
      </c>
    </row>
    <row r="401" spans="1:11" hidden="1" x14ac:dyDescent="0.25">
      <c r="A401" s="774">
        <v>56291</v>
      </c>
      <c r="B401" s="774">
        <v>1000</v>
      </c>
      <c r="C401" s="774">
        <v>100</v>
      </c>
      <c r="D401" s="774">
        <v>2600</v>
      </c>
      <c r="E401" s="774" t="s">
        <v>1395</v>
      </c>
      <c r="F401" s="774" t="s">
        <v>1443</v>
      </c>
      <c r="G401" s="777">
        <v>7.91</v>
      </c>
      <c r="H401" s="14" t="s">
        <v>871</v>
      </c>
      <c r="I401" s="14" t="s">
        <v>875</v>
      </c>
      <c r="J401" s="14" t="s">
        <v>912</v>
      </c>
      <c r="K401" s="14" t="s">
        <v>877</v>
      </c>
    </row>
    <row r="402" spans="1:11" hidden="1" x14ac:dyDescent="0.25">
      <c r="A402" s="774">
        <v>56291</v>
      </c>
      <c r="B402" s="774">
        <v>1542</v>
      </c>
      <c r="C402" s="774">
        <v>100</v>
      </c>
      <c r="D402" s="774">
        <v>2500</v>
      </c>
      <c r="E402" s="774" t="s">
        <v>1395</v>
      </c>
      <c r="F402" s="774" t="s">
        <v>1443</v>
      </c>
      <c r="G402" s="777">
        <v>22.06</v>
      </c>
      <c r="H402" s="14" t="s">
        <v>978</v>
      </c>
      <c r="I402" s="14" t="s">
        <v>875</v>
      </c>
      <c r="J402" s="14" t="s">
        <v>908</v>
      </c>
      <c r="K402" s="14" t="s">
        <v>877</v>
      </c>
    </row>
    <row r="403" spans="1:11" hidden="1" x14ac:dyDescent="0.25">
      <c r="A403" s="774">
        <v>56292</v>
      </c>
      <c r="B403" s="774">
        <v>1000</v>
      </c>
      <c r="C403" s="774">
        <v>100</v>
      </c>
      <c r="D403" s="774">
        <v>1000</v>
      </c>
      <c r="E403" s="774" t="s">
        <v>1395</v>
      </c>
      <c r="F403" s="774" t="s">
        <v>1444</v>
      </c>
      <c r="G403" s="777">
        <v>7</v>
      </c>
      <c r="H403" s="14" t="s">
        <v>871</v>
      </c>
      <c r="I403" s="14" t="s">
        <v>875</v>
      </c>
      <c r="J403" s="14" t="s">
        <v>876</v>
      </c>
      <c r="K403" s="14" t="s">
        <v>877</v>
      </c>
    </row>
    <row r="404" spans="1:11" hidden="1" x14ac:dyDescent="0.25">
      <c r="A404" s="774">
        <v>56311</v>
      </c>
      <c r="B404" s="774">
        <v>1000</v>
      </c>
      <c r="C404" s="774">
        <v>100</v>
      </c>
      <c r="D404" s="774">
        <v>2500</v>
      </c>
      <c r="E404" s="774" t="s">
        <v>1395</v>
      </c>
      <c r="F404" s="774" t="s">
        <v>1445</v>
      </c>
      <c r="G404" s="777">
        <v>2298.38</v>
      </c>
      <c r="H404" s="14" t="s">
        <v>871</v>
      </c>
      <c r="I404" s="14" t="s">
        <v>875</v>
      </c>
      <c r="J404" s="14" t="s">
        <v>908</v>
      </c>
      <c r="K404" s="14" t="s">
        <v>881</v>
      </c>
    </row>
    <row r="405" spans="1:11" hidden="1" x14ac:dyDescent="0.25">
      <c r="A405" s="774">
        <v>56312</v>
      </c>
      <c r="B405" s="774">
        <v>1000</v>
      </c>
      <c r="C405" s="774">
        <v>100</v>
      </c>
      <c r="D405" s="774">
        <v>2500</v>
      </c>
      <c r="E405" s="774" t="s">
        <v>1395</v>
      </c>
      <c r="F405" s="774" t="s">
        <v>1446</v>
      </c>
      <c r="G405" s="777">
        <v>459.68</v>
      </c>
      <c r="H405" s="14" t="s">
        <v>871</v>
      </c>
      <c r="I405" s="14" t="s">
        <v>875</v>
      </c>
      <c r="J405" s="14" t="s">
        <v>908</v>
      </c>
      <c r="K405" s="14" t="s">
        <v>881</v>
      </c>
    </row>
    <row r="406" spans="1:11" hidden="1" x14ac:dyDescent="0.25">
      <c r="A406" s="774">
        <v>56325</v>
      </c>
      <c r="B406" s="774">
        <v>1000</v>
      </c>
      <c r="C406" s="774">
        <v>100</v>
      </c>
      <c r="D406" s="774">
        <v>1000</v>
      </c>
      <c r="E406" s="774" t="s">
        <v>1395</v>
      </c>
      <c r="F406" s="774" t="s">
        <v>1447</v>
      </c>
      <c r="G406" s="777">
        <v>70369.16</v>
      </c>
      <c r="H406" s="14" t="s">
        <v>871</v>
      </c>
      <c r="I406" s="14" t="s">
        <v>875</v>
      </c>
      <c r="J406" s="14" t="s">
        <v>876</v>
      </c>
      <c r="K406" s="14" t="s">
        <v>881</v>
      </c>
    </row>
    <row r="407" spans="1:11" hidden="1" x14ac:dyDescent="0.25">
      <c r="A407" s="774">
        <v>56325</v>
      </c>
      <c r="B407" s="774">
        <v>1000</v>
      </c>
      <c r="C407" s="774">
        <v>200</v>
      </c>
      <c r="D407" s="774">
        <v>1000</v>
      </c>
      <c r="E407" s="774" t="s">
        <v>1395</v>
      </c>
      <c r="F407" s="774" t="s">
        <v>1447</v>
      </c>
      <c r="G407" s="777">
        <v>5895.43</v>
      </c>
      <c r="H407" s="14" t="s">
        <v>871</v>
      </c>
      <c r="I407" s="14" t="s">
        <v>879</v>
      </c>
      <c r="J407" s="14" t="s">
        <v>876</v>
      </c>
      <c r="K407" s="14" t="s">
        <v>881</v>
      </c>
    </row>
    <row r="408" spans="1:11" hidden="1" x14ac:dyDescent="0.25">
      <c r="A408" s="774">
        <v>56325</v>
      </c>
      <c r="B408" s="774">
        <v>1542</v>
      </c>
      <c r="C408" s="774">
        <v>100</v>
      </c>
      <c r="D408" s="774">
        <v>1000</v>
      </c>
      <c r="E408" s="774" t="s">
        <v>1395</v>
      </c>
      <c r="F408" s="774" t="s">
        <v>1447</v>
      </c>
      <c r="G408" s="777">
        <v>1383.75</v>
      </c>
      <c r="H408" s="14" t="s">
        <v>978</v>
      </c>
      <c r="I408" s="14" t="s">
        <v>875</v>
      </c>
      <c r="J408" s="14" t="s">
        <v>876</v>
      </c>
      <c r="K408" s="14" t="s">
        <v>881</v>
      </c>
    </row>
    <row r="409" spans="1:11" hidden="1" x14ac:dyDescent="0.25">
      <c r="A409" s="774">
        <v>56327</v>
      </c>
      <c r="B409" s="774">
        <v>1000</v>
      </c>
      <c r="C409" s="774">
        <v>200</v>
      </c>
      <c r="D409" s="774">
        <v>2100</v>
      </c>
      <c r="E409" s="774" t="s">
        <v>1395</v>
      </c>
      <c r="F409" s="774" t="s">
        <v>1448</v>
      </c>
      <c r="G409" s="777">
        <v>29172.01</v>
      </c>
      <c r="H409" s="14" t="s">
        <v>871</v>
      </c>
      <c r="I409" s="14" t="s">
        <v>879</v>
      </c>
      <c r="J409" s="14" t="s">
        <v>884</v>
      </c>
      <c r="K409" s="14" t="s">
        <v>881</v>
      </c>
    </row>
    <row r="410" spans="1:11" hidden="1" x14ac:dyDescent="0.25">
      <c r="A410" s="774">
        <v>56328</v>
      </c>
      <c r="B410" s="774">
        <v>1000</v>
      </c>
      <c r="C410" s="774">
        <v>100</v>
      </c>
      <c r="D410" s="774">
        <v>2100</v>
      </c>
      <c r="E410" s="774" t="s">
        <v>1395</v>
      </c>
      <c r="F410" s="774" t="s">
        <v>1449</v>
      </c>
      <c r="G410" s="777">
        <v>40.520000000000003</v>
      </c>
      <c r="H410" s="14" t="s">
        <v>871</v>
      </c>
      <c r="I410" s="14" t="s">
        <v>875</v>
      </c>
      <c r="J410" s="14" t="s">
        <v>884</v>
      </c>
      <c r="K410" s="14" t="s">
        <v>881</v>
      </c>
    </row>
    <row r="411" spans="1:11" hidden="1" x14ac:dyDescent="0.25">
      <c r="A411" s="774">
        <v>56328</v>
      </c>
      <c r="B411" s="774">
        <v>1000</v>
      </c>
      <c r="C411" s="774">
        <v>100</v>
      </c>
      <c r="D411" s="774">
        <v>2200</v>
      </c>
      <c r="E411" s="774" t="s">
        <v>1395</v>
      </c>
      <c r="F411" s="774" t="s">
        <v>1449</v>
      </c>
      <c r="G411" s="777">
        <v>3115.4</v>
      </c>
      <c r="H411" s="14" t="s">
        <v>871</v>
      </c>
      <c r="I411" s="14" t="s">
        <v>875</v>
      </c>
      <c r="J411" s="14" t="s">
        <v>888</v>
      </c>
      <c r="K411" s="14" t="s">
        <v>881</v>
      </c>
    </row>
    <row r="412" spans="1:11" hidden="1" x14ac:dyDescent="0.25">
      <c r="A412" s="774">
        <v>56328</v>
      </c>
      <c r="B412" s="774">
        <v>1000</v>
      </c>
      <c r="C412" s="774">
        <v>100</v>
      </c>
      <c r="D412" s="774">
        <v>2300</v>
      </c>
      <c r="E412" s="774" t="s">
        <v>1395</v>
      </c>
      <c r="F412" s="774" t="s">
        <v>1449</v>
      </c>
      <c r="G412" s="777">
        <v>179.89</v>
      </c>
      <c r="H412" s="14" t="s">
        <v>871</v>
      </c>
      <c r="I412" s="14" t="s">
        <v>875</v>
      </c>
      <c r="J412" s="14" t="s">
        <v>900</v>
      </c>
      <c r="K412" s="14" t="s">
        <v>881</v>
      </c>
    </row>
    <row r="413" spans="1:11" hidden="1" x14ac:dyDescent="0.25">
      <c r="A413" s="774">
        <v>56328</v>
      </c>
      <c r="B413" s="774">
        <v>1000</v>
      </c>
      <c r="C413" s="774">
        <v>100</v>
      </c>
      <c r="D413" s="774">
        <v>2400</v>
      </c>
      <c r="E413" s="774" t="s">
        <v>1395</v>
      </c>
      <c r="F413" s="774" t="s">
        <v>1449</v>
      </c>
      <c r="G413" s="777">
        <v>227.65</v>
      </c>
      <c r="H413" s="14" t="s">
        <v>871</v>
      </c>
      <c r="I413" s="14" t="s">
        <v>875</v>
      </c>
      <c r="J413" s="14" t="s">
        <v>904</v>
      </c>
      <c r="K413" s="14" t="s">
        <v>881</v>
      </c>
    </row>
    <row r="414" spans="1:11" hidden="1" x14ac:dyDescent="0.25">
      <c r="A414" s="774">
        <v>56328</v>
      </c>
      <c r="B414" s="774">
        <v>1000</v>
      </c>
      <c r="C414" s="774">
        <v>100</v>
      </c>
      <c r="D414" s="774">
        <v>2500</v>
      </c>
      <c r="E414" s="774" t="s">
        <v>1395</v>
      </c>
      <c r="F414" s="774" t="s">
        <v>1449</v>
      </c>
      <c r="G414" s="777">
        <v>1225.42</v>
      </c>
      <c r="H414" s="14" t="s">
        <v>871</v>
      </c>
      <c r="I414" s="14" t="s">
        <v>875</v>
      </c>
      <c r="J414" s="14" t="s">
        <v>908</v>
      </c>
      <c r="K414" s="14" t="s">
        <v>881</v>
      </c>
    </row>
    <row r="415" spans="1:11" hidden="1" x14ac:dyDescent="0.25">
      <c r="A415" s="774">
        <v>56328</v>
      </c>
      <c r="B415" s="774">
        <v>1000</v>
      </c>
      <c r="C415" s="774">
        <v>100</v>
      </c>
      <c r="D415" s="774">
        <v>2510</v>
      </c>
      <c r="E415" s="774" t="s">
        <v>1395</v>
      </c>
      <c r="F415" s="774" t="s">
        <v>1449</v>
      </c>
      <c r="G415" s="777">
        <v>57.63</v>
      </c>
      <c r="H415" s="14" t="s">
        <v>871</v>
      </c>
      <c r="I415" s="14" t="s">
        <v>875</v>
      </c>
      <c r="J415" s="14" t="s">
        <v>908</v>
      </c>
      <c r="K415" s="14" t="s">
        <v>881</v>
      </c>
    </row>
    <row r="416" spans="1:11" hidden="1" x14ac:dyDescent="0.25">
      <c r="A416" s="774">
        <v>56328</v>
      </c>
      <c r="B416" s="774">
        <v>1000</v>
      </c>
      <c r="C416" s="774">
        <v>200</v>
      </c>
      <c r="D416" s="774">
        <v>2100</v>
      </c>
      <c r="E416" s="774" t="s">
        <v>1395</v>
      </c>
      <c r="F416" s="774" t="s">
        <v>1449</v>
      </c>
      <c r="G416" s="777">
        <v>19.489999999999998</v>
      </c>
      <c r="H416" s="14" t="s">
        <v>871</v>
      </c>
      <c r="I416" s="14" t="s">
        <v>879</v>
      </c>
      <c r="J416" s="14" t="s">
        <v>884</v>
      </c>
      <c r="K416" s="14" t="s">
        <v>881</v>
      </c>
    </row>
    <row r="417" spans="1:11" hidden="1" x14ac:dyDescent="0.25">
      <c r="A417" s="774">
        <v>56328</v>
      </c>
      <c r="B417" s="774">
        <v>1000</v>
      </c>
      <c r="C417" s="774">
        <v>200</v>
      </c>
      <c r="D417" s="774">
        <v>2200</v>
      </c>
      <c r="E417" s="774" t="s">
        <v>1395</v>
      </c>
      <c r="F417" s="774" t="s">
        <v>1449</v>
      </c>
      <c r="G417" s="777">
        <v>220</v>
      </c>
      <c r="H417" s="14" t="s">
        <v>871</v>
      </c>
      <c r="I417" s="14" t="s">
        <v>879</v>
      </c>
      <c r="J417" s="14" t="s">
        <v>888</v>
      </c>
      <c r="K417" s="14" t="s">
        <v>881</v>
      </c>
    </row>
    <row r="418" spans="1:11" hidden="1" x14ac:dyDescent="0.25">
      <c r="A418" s="774">
        <v>56328</v>
      </c>
      <c r="B418" s="774">
        <v>1000</v>
      </c>
      <c r="C418" s="774">
        <v>200</v>
      </c>
      <c r="D418" s="774">
        <v>2500</v>
      </c>
      <c r="E418" s="774" t="s">
        <v>1395</v>
      </c>
      <c r="F418" s="774" t="s">
        <v>1449</v>
      </c>
      <c r="G418" s="777">
        <v>56.32</v>
      </c>
      <c r="H418" s="14" t="s">
        <v>871</v>
      </c>
      <c r="I418" s="14" t="s">
        <v>879</v>
      </c>
      <c r="J418" s="14" t="s">
        <v>908</v>
      </c>
      <c r="K418" s="14" t="s">
        <v>881</v>
      </c>
    </row>
    <row r="419" spans="1:11" hidden="1" x14ac:dyDescent="0.25">
      <c r="A419" s="774">
        <v>56328</v>
      </c>
      <c r="B419" s="774">
        <v>1000</v>
      </c>
      <c r="C419" s="774">
        <v>240</v>
      </c>
      <c r="D419" s="774">
        <v>1000</v>
      </c>
      <c r="E419" s="774" t="s">
        <v>1395</v>
      </c>
      <c r="F419" s="774" t="s">
        <v>1449</v>
      </c>
      <c r="G419" s="777">
        <v>118.7</v>
      </c>
      <c r="H419" s="14" t="s">
        <v>871</v>
      </c>
      <c r="I419" s="14" t="s">
        <v>879</v>
      </c>
      <c r="J419" s="14" t="s">
        <v>876</v>
      </c>
      <c r="K419" s="14" t="s">
        <v>881</v>
      </c>
    </row>
    <row r="420" spans="1:11" hidden="1" x14ac:dyDescent="0.25">
      <c r="A420" s="774">
        <v>56328</v>
      </c>
      <c r="B420" s="774">
        <v>1140</v>
      </c>
      <c r="C420" s="774">
        <v>100</v>
      </c>
      <c r="D420" s="774">
        <v>2200</v>
      </c>
      <c r="E420" s="774" t="s">
        <v>1395</v>
      </c>
      <c r="F420" s="774" t="s">
        <v>1449</v>
      </c>
      <c r="G420" s="777">
        <v>3226</v>
      </c>
      <c r="H420" s="14" t="s">
        <v>890</v>
      </c>
      <c r="I420" s="14" t="s">
        <v>875</v>
      </c>
      <c r="J420" s="14" t="s">
        <v>888</v>
      </c>
      <c r="K420" s="14" t="s">
        <v>881</v>
      </c>
    </row>
    <row r="421" spans="1:11" hidden="1" x14ac:dyDescent="0.25">
      <c r="A421" s="774">
        <v>56328</v>
      </c>
      <c r="B421" s="774">
        <v>1190</v>
      </c>
      <c r="C421" s="774">
        <v>100</v>
      </c>
      <c r="D421" s="774">
        <v>2200</v>
      </c>
      <c r="E421" s="774" t="s">
        <v>1395</v>
      </c>
      <c r="F421" s="774" t="s">
        <v>1449</v>
      </c>
      <c r="G421" s="777">
        <v>50</v>
      </c>
      <c r="H421" s="14" t="s">
        <v>902</v>
      </c>
      <c r="I421" s="14" t="s">
        <v>875</v>
      </c>
      <c r="J421" s="14" t="s">
        <v>888</v>
      </c>
      <c r="K421" s="14" t="s">
        <v>881</v>
      </c>
    </row>
    <row r="422" spans="1:11" hidden="1" x14ac:dyDescent="0.25">
      <c r="A422" s="774">
        <v>56328</v>
      </c>
      <c r="B422" s="774">
        <v>1190</v>
      </c>
      <c r="C422" s="774">
        <v>260</v>
      </c>
      <c r="D422" s="774">
        <v>2200</v>
      </c>
      <c r="E422" s="774" t="s">
        <v>1395</v>
      </c>
      <c r="F422" s="774" t="s">
        <v>1449</v>
      </c>
      <c r="G422" s="777">
        <v>500</v>
      </c>
      <c r="H422" s="14" t="s">
        <v>902</v>
      </c>
      <c r="I422" s="14" t="s">
        <v>883</v>
      </c>
      <c r="J422" s="14" t="s">
        <v>888</v>
      </c>
      <c r="K422" s="14" t="s">
        <v>881</v>
      </c>
    </row>
    <row r="423" spans="1:11" hidden="1" x14ac:dyDescent="0.25">
      <c r="A423" s="774">
        <v>56328</v>
      </c>
      <c r="B423" s="774">
        <v>1542</v>
      </c>
      <c r="C423" s="774">
        <v>100</v>
      </c>
      <c r="D423" s="774">
        <v>2500</v>
      </c>
      <c r="E423" s="774" t="s">
        <v>1395</v>
      </c>
      <c r="F423" s="774" t="s">
        <v>1449</v>
      </c>
      <c r="G423" s="777">
        <v>25.65</v>
      </c>
      <c r="H423" s="14" t="s">
        <v>978</v>
      </c>
      <c r="I423" s="14" t="s">
        <v>875</v>
      </c>
      <c r="J423" s="14" t="s">
        <v>908</v>
      </c>
      <c r="K423" s="14" t="s">
        <v>881</v>
      </c>
    </row>
    <row r="424" spans="1:11" hidden="1" x14ac:dyDescent="0.25">
      <c r="A424" s="774">
        <v>56329</v>
      </c>
      <c r="B424" s="774">
        <v>1000</v>
      </c>
      <c r="C424" s="774">
        <v>100</v>
      </c>
      <c r="D424" s="774">
        <v>2100</v>
      </c>
      <c r="E424" s="774" t="s">
        <v>1395</v>
      </c>
      <c r="F424" s="774" t="s">
        <v>1450</v>
      </c>
      <c r="G424" s="777">
        <v>4435.67</v>
      </c>
      <c r="H424" s="14" t="s">
        <v>871</v>
      </c>
      <c r="I424" s="14" t="s">
        <v>875</v>
      </c>
      <c r="J424" s="14" t="s">
        <v>884</v>
      </c>
      <c r="K424" s="14" t="s">
        <v>881</v>
      </c>
    </row>
    <row r="425" spans="1:11" hidden="1" x14ac:dyDescent="0.25">
      <c r="A425" s="774">
        <v>56329</v>
      </c>
      <c r="B425" s="774">
        <v>1000</v>
      </c>
      <c r="C425" s="774">
        <v>100</v>
      </c>
      <c r="D425" s="774">
        <v>2300</v>
      </c>
      <c r="E425" s="774" t="s">
        <v>1395</v>
      </c>
      <c r="F425" s="774" t="s">
        <v>1450</v>
      </c>
      <c r="G425" s="777">
        <v>7.67</v>
      </c>
      <c r="H425" s="14" t="s">
        <v>871</v>
      </c>
      <c r="I425" s="14" t="s">
        <v>875</v>
      </c>
      <c r="J425" s="14" t="s">
        <v>900</v>
      </c>
      <c r="K425" s="14" t="s">
        <v>881</v>
      </c>
    </row>
    <row r="426" spans="1:11" hidden="1" x14ac:dyDescent="0.25">
      <c r="A426" s="774">
        <v>56329</v>
      </c>
      <c r="B426" s="774">
        <v>1000</v>
      </c>
      <c r="C426" s="774">
        <v>100</v>
      </c>
      <c r="D426" s="774">
        <v>2500</v>
      </c>
      <c r="E426" s="774" t="s">
        <v>1395</v>
      </c>
      <c r="F426" s="774" t="s">
        <v>1450</v>
      </c>
      <c r="G426" s="777">
        <v>30897.4</v>
      </c>
      <c r="H426" s="14" t="s">
        <v>871</v>
      </c>
      <c r="I426" s="14" t="s">
        <v>875</v>
      </c>
      <c r="J426" s="14" t="s">
        <v>908</v>
      </c>
      <c r="K426" s="14" t="s">
        <v>881</v>
      </c>
    </row>
    <row r="427" spans="1:11" hidden="1" x14ac:dyDescent="0.25">
      <c r="A427" s="774">
        <v>56329</v>
      </c>
      <c r="B427" s="774">
        <v>1000</v>
      </c>
      <c r="C427" s="774">
        <v>100</v>
      </c>
      <c r="D427" s="774">
        <v>2510</v>
      </c>
      <c r="E427" s="774" t="s">
        <v>1395</v>
      </c>
      <c r="F427" s="774" t="s">
        <v>1450</v>
      </c>
      <c r="G427" s="777">
        <v>529.91</v>
      </c>
      <c r="H427" s="14" t="s">
        <v>871</v>
      </c>
      <c r="I427" s="14" t="s">
        <v>875</v>
      </c>
      <c r="J427" s="14" t="s">
        <v>908</v>
      </c>
      <c r="K427" s="14" t="s">
        <v>881</v>
      </c>
    </row>
    <row r="428" spans="1:11" hidden="1" x14ac:dyDescent="0.25">
      <c r="A428" s="774">
        <v>56329</v>
      </c>
      <c r="B428" s="774">
        <v>1000</v>
      </c>
      <c r="C428" s="774">
        <v>200</v>
      </c>
      <c r="D428" s="774">
        <v>2100</v>
      </c>
      <c r="E428" s="774" t="s">
        <v>1395</v>
      </c>
      <c r="F428" s="774" t="s">
        <v>1450</v>
      </c>
      <c r="G428" s="777">
        <v>962.54</v>
      </c>
      <c r="H428" s="14" t="s">
        <v>871</v>
      </c>
      <c r="I428" s="14" t="s">
        <v>879</v>
      </c>
      <c r="J428" s="14" t="s">
        <v>884</v>
      </c>
      <c r="K428" s="14" t="s">
        <v>881</v>
      </c>
    </row>
    <row r="429" spans="1:11" hidden="1" x14ac:dyDescent="0.25">
      <c r="A429" s="774">
        <v>56329</v>
      </c>
      <c r="B429" s="774">
        <v>1542</v>
      </c>
      <c r="C429" s="774">
        <v>100</v>
      </c>
      <c r="D429" s="774">
        <v>2100</v>
      </c>
      <c r="E429" s="774" t="s">
        <v>1395</v>
      </c>
      <c r="F429" s="774" t="s">
        <v>1450</v>
      </c>
      <c r="G429" s="777">
        <v>512.97</v>
      </c>
      <c r="H429" s="14" t="s">
        <v>978</v>
      </c>
      <c r="I429" s="14" t="s">
        <v>875</v>
      </c>
      <c r="J429" s="14" t="s">
        <v>884</v>
      </c>
      <c r="K429" s="14" t="s">
        <v>881</v>
      </c>
    </row>
    <row r="430" spans="1:11" hidden="1" x14ac:dyDescent="0.25">
      <c r="A430" s="774">
        <v>56329</v>
      </c>
      <c r="B430" s="774">
        <v>1542</v>
      </c>
      <c r="C430" s="774">
        <v>100</v>
      </c>
      <c r="D430" s="774">
        <v>2500</v>
      </c>
      <c r="E430" s="774" t="s">
        <v>1395</v>
      </c>
      <c r="F430" s="774" t="s">
        <v>1450</v>
      </c>
      <c r="G430" s="777">
        <v>12978.16</v>
      </c>
      <c r="H430" s="14" t="s">
        <v>978</v>
      </c>
      <c r="I430" s="14" t="s">
        <v>875</v>
      </c>
      <c r="J430" s="14" t="s">
        <v>908</v>
      </c>
      <c r="K430" s="14" t="s">
        <v>881</v>
      </c>
    </row>
    <row r="431" spans="1:11" hidden="1" x14ac:dyDescent="0.25">
      <c r="A431" s="774">
        <v>56331</v>
      </c>
      <c r="B431" s="774">
        <v>1000</v>
      </c>
      <c r="C431" s="774">
        <v>100</v>
      </c>
      <c r="D431" s="774">
        <v>2500</v>
      </c>
      <c r="E431" s="774" t="s">
        <v>1395</v>
      </c>
      <c r="F431" s="774" t="s">
        <v>1451</v>
      </c>
      <c r="G431" s="777">
        <v>102401.19</v>
      </c>
      <c r="H431" s="14" t="s">
        <v>871</v>
      </c>
      <c r="I431" s="14" t="s">
        <v>875</v>
      </c>
      <c r="J431" s="14" t="s">
        <v>908</v>
      </c>
      <c r="K431" s="14" t="s">
        <v>881</v>
      </c>
    </row>
    <row r="432" spans="1:11" hidden="1" x14ac:dyDescent="0.25">
      <c r="A432" s="774">
        <v>56333</v>
      </c>
      <c r="B432" s="774">
        <v>1000</v>
      </c>
      <c r="C432" s="774">
        <v>100</v>
      </c>
      <c r="D432" s="774">
        <v>2500</v>
      </c>
      <c r="E432" s="774" t="s">
        <v>1395</v>
      </c>
      <c r="F432" s="774" t="s">
        <v>1452</v>
      </c>
      <c r="G432" s="777">
        <v>5458.31</v>
      </c>
      <c r="H432" s="14" t="s">
        <v>871</v>
      </c>
      <c r="I432" s="14" t="s">
        <v>875</v>
      </c>
      <c r="J432" s="14" t="s">
        <v>908</v>
      </c>
      <c r="K432" s="14" t="s">
        <v>881</v>
      </c>
    </row>
    <row r="433" spans="1:11" hidden="1" x14ac:dyDescent="0.25">
      <c r="A433" s="774">
        <v>56411</v>
      </c>
      <c r="B433" s="774">
        <v>1000</v>
      </c>
      <c r="C433" s="774">
        <v>100</v>
      </c>
      <c r="D433" s="774">
        <v>2600</v>
      </c>
      <c r="E433" s="774" t="s">
        <v>1395</v>
      </c>
      <c r="F433" s="774" t="s">
        <v>1453</v>
      </c>
      <c r="G433" s="777">
        <v>15512.02</v>
      </c>
      <c r="H433" s="14" t="s">
        <v>871</v>
      </c>
      <c r="I433" s="14" t="s">
        <v>875</v>
      </c>
      <c r="J433" s="14" t="s">
        <v>912</v>
      </c>
      <c r="K433" s="14" t="s">
        <v>881</v>
      </c>
    </row>
    <row r="434" spans="1:11" hidden="1" x14ac:dyDescent="0.25">
      <c r="A434" s="774">
        <v>56421</v>
      </c>
      <c r="B434" s="774">
        <v>1000</v>
      </c>
      <c r="C434" s="774">
        <v>100</v>
      </c>
      <c r="D434" s="774">
        <v>2400</v>
      </c>
      <c r="E434" s="774" t="s">
        <v>1395</v>
      </c>
      <c r="F434" s="774" t="s">
        <v>1454</v>
      </c>
      <c r="G434" s="777">
        <v>112.5</v>
      </c>
      <c r="H434" s="14" t="s">
        <v>871</v>
      </c>
      <c r="I434" s="14" t="s">
        <v>875</v>
      </c>
      <c r="J434" s="14" t="s">
        <v>904</v>
      </c>
      <c r="K434" s="14" t="s">
        <v>881</v>
      </c>
    </row>
    <row r="435" spans="1:11" hidden="1" x14ac:dyDescent="0.25">
      <c r="A435" s="774">
        <v>56421</v>
      </c>
      <c r="B435" s="774">
        <v>1000</v>
      </c>
      <c r="C435" s="774">
        <v>100</v>
      </c>
      <c r="D435" s="774">
        <v>2500</v>
      </c>
      <c r="E435" s="774" t="s">
        <v>1395</v>
      </c>
      <c r="F435" s="774" t="s">
        <v>1454</v>
      </c>
      <c r="G435" s="777">
        <v>20.71</v>
      </c>
      <c r="H435" s="14" t="s">
        <v>871</v>
      </c>
      <c r="I435" s="14" t="s">
        <v>875</v>
      </c>
      <c r="J435" s="14" t="s">
        <v>908</v>
      </c>
      <c r="K435" s="14" t="s">
        <v>881</v>
      </c>
    </row>
    <row r="436" spans="1:11" hidden="1" x14ac:dyDescent="0.25">
      <c r="A436" s="774">
        <v>56424</v>
      </c>
      <c r="B436" s="774">
        <v>1000</v>
      </c>
      <c r="C436" s="774">
        <v>100</v>
      </c>
      <c r="D436" s="774">
        <v>2600</v>
      </c>
      <c r="E436" s="774" t="s">
        <v>1395</v>
      </c>
      <c r="F436" s="774" t="s">
        <v>1455</v>
      </c>
      <c r="G436" s="777">
        <v>127646.52</v>
      </c>
      <c r="H436" s="14" t="s">
        <v>871</v>
      </c>
      <c r="I436" s="14" t="s">
        <v>875</v>
      </c>
      <c r="J436" s="14" t="s">
        <v>912</v>
      </c>
      <c r="K436" s="14" t="s">
        <v>881</v>
      </c>
    </row>
    <row r="437" spans="1:11" hidden="1" x14ac:dyDescent="0.25">
      <c r="A437" s="774">
        <v>56427</v>
      </c>
      <c r="B437" s="774">
        <v>1000</v>
      </c>
      <c r="C437" s="774">
        <v>100</v>
      </c>
      <c r="D437" s="774">
        <v>2600</v>
      </c>
      <c r="E437" s="774" t="s">
        <v>1395</v>
      </c>
      <c r="F437" s="774" t="s">
        <v>1456</v>
      </c>
      <c r="G437" s="777">
        <v>1816.5</v>
      </c>
      <c r="H437" s="14" t="s">
        <v>871</v>
      </c>
      <c r="I437" s="14" t="s">
        <v>875</v>
      </c>
      <c r="J437" s="14" t="s">
        <v>912</v>
      </c>
      <c r="K437" s="14" t="s">
        <v>881</v>
      </c>
    </row>
    <row r="438" spans="1:11" hidden="1" x14ac:dyDescent="0.25">
      <c r="A438" s="774">
        <v>56431</v>
      </c>
      <c r="B438" s="774">
        <v>1000</v>
      </c>
      <c r="C438" s="774">
        <v>100</v>
      </c>
      <c r="D438" s="774">
        <v>2600</v>
      </c>
      <c r="E438" s="774" t="s">
        <v>1395</v>
      </c>
      <c r="F438" s="774" t="s">
        <v>1457</v>
      </c>
      <c r="G438" s="777">
        <v>42776.81</v>
      </c>
      <c r="H438" s="14" t="s">
        <v>871</v>
      </c>
      <c r="I438" s="14" t="s">
        <v>875</v>
      </c>
      <c r="J438" s="14" t="s">
        <v>912</v>
      </c>
      <c r="K438" s="14" t="s">
        <v>881</v>
      </c>
    </row>
    <row r="439" spans="1:11" hidden="1" x14ac:dyDescent="0.25">
      <c r="A439" s="774">
        <v>56432</v>
      </c>
      <c r="B439" s="774">
        <v>1000</v>
      </c>
      <c r="C439" s="774">
        <v>100</v>
      </c>
      <c r="D439" s="774">
        <v>2500</v>
      </c>
      <c r="E439" s="774" t="s">
        <v>1395</v>
      </c>
      <c r="F439" s="774" t="s">
        <v>1458</v>
      </c>
      <c r="G439" s="777">
        <v>1923.89</v>
      </c>
      <c r="H439" s="14" t="s">
        <v>871</v>
      </c>
      <c r="I439" s="14" t="s">
        <v>875</v>
      </c>
      <c r="J439" s="14" t="s">
        <v>908</v>
      </c>
      <c r="K439" s="14" t="s">
        <v>881</v>
      </c>
    </row>
    <row r="440" spans="1:11" hidden="1" x14ac:dyDescent="0.25">
      <c r="A440" s="774">
        <v>56440</v>
      </c>
      <c r="B440" s="774">
        <v>1000</v>
      </c>
      <c r="C440" s="774">
        <v>100</v>
      </c>
      <c r="D440" s="774">
        <v>2100</v>
      </c>
      <c r="E440" s="774" t="s">
        <v>1395</v>
      </c>
      <c r="F440" s="774" t="s">
        <v>1459</v>
      </c>
      <c r="G440" s="777">
        <v>2302.0700000000002</v>
      </c>
      <c r="H440" s="14" t="s">
        <v>871</v>
      </c>
      <c r="I440" s="14" t="s">
        <v>875</v>
      </c>
      <c r="J440" s="14" t="s">
        <v>884</v>
      </c>
      <c r="K440" s="14" t="s">
        <v>881</v>
      </c>
    </row>
    <row r="441" spans="1:11" hidden="1" x14ac:dyDescent="0.25">
      <c r="A441" s="774">
        <v>56440</v>
      </c>
      <c r="B441" s="774">
        <v>1000</v>
      </c>
      <c r="C441" s="774">
        <v>100</v>
      </c>
      <c r="D441" s="774">
        <v>2300</v>
      </c>
      <c r="E441" s="774" t="s">
        <v>1395</v>
      </c>
      <c r="F441" s="774" t="s">
        <v>1459</v>
      </c>
      <c r="G441" s="777">
        <v>3.05</v>
      </c>
      <c r="H441" s="14" t="s">
        <v>871</v>
      </c>
      <c r="I441" s="14" t="s">
        <v>875</v>
      </c>
      <c r="J441" s="14" t="s">
        <v>900</v>
      </c>
      <c r="K441" s="14" t="s">
        <v>881</v>
      </c>
    </row>
    <row r="442" spans="1:11" hidden="1" x14ac:dyDescent="0.25">
      <c r="A442" s="774">
        <v>56440</v>
      </c>
      <c r="B442" s="774">
        <v>1000</v>
      </c>
      <c r="C442" s="774">
        <v>100</v>
      </c>
      <c r="D442" s="774">
        <v>2400</v>
      </c>
      <c r="E442" s="774" t="s">
        <v>1395</v>
      </c>
      <c r="F442" s="774" t="s">
        <v>1459</v>
      </c>
      <c r="G442" s="777">
        <v>26.07</v>
      </c>
      <c r="H442" s="14" t="s">
        <v>871</v>
      </c>
      <c r="I442" s="14" t="s">
        <v>875</v>
      </c>
      <c r="J442" s="14" t="s">
        <v>904</v>
      </c>
      <c r="K442" s="14" t="s">
        <v>881</v>
      </c>
    </row>
    <row r="443" spans="1:11" hidden="1" x14ac:dyDescent="0.25">
      <c r="A443" s="774">
        <v>56440</v>
      </c>
      <c r="B443" s="774">
        <v>1000</v>
      </c>
      <c r="C443" s="774">
        <v>100</v>
      </c>
      <c r="D443" s="774">
        <v>2500</v>
      </c>
      <c r="E443" s="774" t="s">
        <v>1395</v>
      </c>
      <c r="F443" s="774" t="s">
        <v>1459</v>
      </c>
      <c r="G443" s="777">
        <v>1360.96</v>
      </c>
      <c r="H443" s="14" t="s">
        <v>871</v>
      </c>
      <c r="I443" s="14" t="s">
        <v>875</v>
      </c>
      <c r="J443" s="14" t="s">
        <v>908</v>
      </c>
      <c r="K443" s="14" t="s">
        <v>881</v>
      </c>
    </row>
    <row r="444" spans="1:11" hidden="1" x14ac:dyDescent="0.25">
      <c r="A444" s="774">
        <v>56440</v>
      </c>
      <c r="B444" s="774">
        <v>1000</v>
      </c>
      <c r="C444" s="774">
        <v>100</v>
      </c>
      <c r="D444" s="774">
        <v>2600</v>
      </c>
      <c r="E444" s="774" t="s">
        <v>1395</v>
      </c>
      <c r="F444" s="774" t="s">
        <v>1459</v>
      </c>
      <c r="G444" s="777">
        <v>1077232.3500000001</v>
      </c>
      <c r="H444" s="14" t="s">
        <v>871</v>
      </c>
      <c r="I444" s="14" t="s">
        <v>875</v>
      </c>
      <c r="J444" s="14" t="s">
        <v>912</v>
      </c>
      <c r="K444" s="14" t="s">
        <v>881</v>
      </c>
    </row>
    <row r="445" spans="1:11" hidden="1" x14ac:dyDescent="0.25">
      <c r="A445" s="774">
        <v>56440</v>
      </c>
      <c r="B445" s="774" t="s">
        <v>1405</v>
      </c>
      <c r="C445" s="774">
        <v>620</v>
      </c>
      <c r="D445" s="774">
        <v>1000</v>
      </c>
      <c r="E445" s="774" t="s">
        <v>1395</v>
      </c>
      <c r="F445" s="774" t="s">
        <v>1459</v>
      </c>
      <c r="G445" s="777">
        <v>188.16</v>
      </c>
      <c r="H445" s="14" t="s">
        <v>978</v>
      </c>
      <c r="I445" s="14" t="s">
        <v>923</v>
      </c>
      <c r="J445" s="14" t="s">
        <v>876</v>
      </c>
      <c r="K445" s="14" t="s">
        <v>881</v>
      </c>
    </row>
    <row r="446" spans="1:11" hidden="1" x14ac:dyDescent="0.25">
      <c r="A446" s="774">
        <v>56443</v>
      </c>
      <c r="B446" s="774">
        <v>1000</v>
      </c>
      <c r="C446" s="774">
        <v>100</v>
      </c>
      <c r="D446" s="774">
        <v>1000</v>
      </c>
      <c r="E446" s="774" t="s">
        <v>1395</v>
      </c>
      <c r="F446" s="774" t="s">
        <v>1460</v>
      </c>
      <c r="G446" s="777">
        <v>8364.84</v>
      </c>
      <c r="H446" s="14" t="s">
        <v>871</v>
      </c>
      <c r="I446" s="14" t="s">
        <v>875</v>
      </c>
      <c r="J446" s="14" t="s">
        <v>876</v>
      </c>
      <c r="K446" s="14" t="s">
        <v>881</v>
      </c>
    </row>
    <row r="447" spans="1:11" hidden="1" x14ac:dyDescent="0.25">
      <c r="A447" s="774">
        <v>56443</v>
      </c>
      <c r="B447" s="774">
        <v>1000</v>
      </c>
      <c r="C447" s="774">
        <v>100</v>
      </c>
      <c r="D447" s="774">
        <v>2500</v>
      </c>
      <c r="E447" s="774" t="s">
        <v>1395</v>
      </c>
      <c r="F447" s="774" t="s">
        <v>1460</v>
      </c>
      <c r="G447" s="777">
        <v>160.44999999999999</v>
      </c>
      <c r="H447" s="14" t="s">
        <v>871</v>
      </c>
      <c r="I447" s="14" t="s">
        <v>875</v>
      </c>
      <c r="J447" s="14" t="s">
        <v>908</v>
      </c>
      <c r="K447" s="14" t="s">
        <v>881</v>
      </c>
    </row>
    <row r="448" spans="1:11" hidden="1" x14ac:dyDescent="0.25">
      <c r="A448" s="774">
        <v>56510</v>
      </c>
      <c r="B448" s="774">
        <v>1000</v>
      </c>
      <c r="C448" s="774">
        <v>400</v>
      </c>
      <c r="D448" s="774">
        <v>2700</v>
      </c>
      <c r="E448" s="774" t="s">
        <v>1395</v>
      </c>
      <c r="F448" s="774" t="s">
        <v>1461</v>
      </c>
      <c r="G448" s="777">
        <v>825</v>
      </c>
      <c r="H448" s="14" t="s">
        <v>871</v>
      </c>
      <c r="I448" s="14" t="s">
        <v>895</v>
      </c>
      <c r="J448" s="14" t="s">
        <v>916</v>
      </c>
      <c r="K448" s="14" t="s">
        <v>881</v>
      </c>
    </row>
    <row r="449" spans="1:11" hidden="1" x14ac:dyDescent="0.25">
      <c r="A449" s="774">
        <v>56510</v>
      </c>
      <c r="B449" s="774">
        <v>1710</v>
      </c>
      <c r="C449" s="774">
        <v>400</v>
      </c>
      <c r="D449" s="774">
        <v>2700</v>
      </c>
      <c r="E449" s="774" t="s">
        <v>1395</v>
      </c>
      <c r="F449" s="774" t="s">
        <v>1461</v>
      </c>
      <c r="G449" s="777">
        <v>6594.7</v>
      </c>
      <c r="H449" s="14" t="s">
        <v>978</v>
      </c>
      <c r="I449" s="14" t="s">
        <v>895</v>
      </c>
      <c r="J449" s="14" t="s">
        <v>916</v>
      </c>
      <c r="K449" s="14" t="s">
        <v>881</v>
      </c>
    </row>
    <row r="450" spans="1:11" hidden="1" x14ac:dyDescent="0.25">
      <c r="A450" s="774">
        <v>56510</v>
      </c>
      <c r="B450" s="774" t="s">
        <v>1405</v>
      </c>
      <c r="C450" s="774">
        <v>400</v>
      </c>
      <c r="D450" s="774">
        <v>2700</v>
      </c>
      <c r="E450" s="774" t="s">
        <v>1395</v>
      </c>
      <c r="F450" s="774" t="s">
        <v>1461</v>
      </c>
      <c r="G450" s="777">
        <v>1803.37</v>
      </c>
      <c r="H450" s="14" t="s">
        <v>978</v>
      </c>
      <c r="I450" s="14" t="s">
        <v>895</v>
      </c>
      <c r="J450" s="14" t="s">
        <v>916</v>
      </c>
      <c r="K450" s="14" t="s">
        <v>881</v>
      </c>
    </row>
    <row r="451" spans="1:11" hidden="1" x14ac:dyDescent="0.25">
      <c r="A451" s="774">
        <v>56520</v>
      </c>
      <c r="B451" s="774">
        <v>1000</v>
      </c>
      <c r="C451" s="774">
        <v>100</v>
      </c>
      <c r="D451" s="774">
        <v>2500</v>
      </c>
      <c r="E451" s="774" t="s">
        <v>1395</v>
      </c>
      <c r="F451" s="774" t="s">
        <v>1462</v>
      </c>
      <c r="G451" s="777">
        <v>1954.23</v>
      </c>
      <c r="H451" s="14" t="s">
        <v>871</v>
      </c>
      <c r="I451" s="14" t="s">
        <v>875</v>
      </c>
      <c r="J451" s="14" t="s">
        <v>908</v>
      </c>
      <c r="K451" s="14" t="s">
        <v>881</v>
      </c>
    </row>
    <row r="452" spans="1:11" hidden="1" x14ac:dyDescent="0.25">
      <c r="A452" s="774">
        <v>56520</v>
      </c>
      <c r="B452" s="774">
        <v>1000</v>
      </c>
      <c r="C452" s="774">
        <v>100</v>
      </c>
      <c r="D452" s="774">
        <v>2600</v>
      </c>
      <c r="E452" s="774" t="s">
        <v>1395</v>
      </c>
      <c r="F452" s="774" t="s">
        <v>1462</v>
      </c>
      <c r="G452" s="777">
        <v>16645.88</v>
      </c>
      <c r="H452" s="14" t="s">
        <v>871</v>
      </c>
      <c r="I452" s="14" t="s">
        <v>875</v>
      </c>
      <c r="J452" s="14" t="s">
        <v>912</v>
      </c>
      <c r="K452" s="14" t="s">
        <v>881</v>
      </c>
    </row>
    <row r="453" spans="1:11" hidden="1" x14ac:dyDescent="0.25">
      <c r="A453" s="774">
        <v>56531</v>
      </c>
      <c r="B453" s="774">
        <v>1000</v>
      </c>
      <c r="C453" s="774">
        <v>100</v>
      </c>
      <c r="D453" s="774">
        <v>2500</v>
      </c>
      <c r="E453" s="774" t="s">
        <v>1395</v>
      </c>
      <c r="F453" s="774" t="s">
        <v>1463</v>
      </c>
      <c r="G453" s="777">
        <v>57.75</v>
      </c>
      <c r="H453" s="14" t="s">
        <v>871</v>
      </c>
      <c r="I453" s="14" t="s">
        <v>875</v>
      </c>
      <c r="J453" s="14" t="s">
        <v>908</v>
      </c>
      <c r="K453" s="14" t="s">
        <v>881</v>
      </c>
    </row>
    <row r="454" spans="1:11" hidden="1" x14ac:dyDescent="0.25">
      <c r="A454" s="774">
        <v>56531</v>
      </c>
      <c r="B454" s="774">
        <v>1000</v>
      </c>
      <c r="C454" s="774">
        <v>100</v>
      </c>
      <c r="D454" s="774">
        <v>2600</v>
      </c>
      <c r="E454" s="774" t="s">
        <v>1395</v>
      </c>
      <c r="F454" s="774" t="s">
        <v>1463</v>
      </c>
      <c r="G454" s="777">
        <v>1190.79</v>
      </c>
      <c r="H454" s="14" t="s">
        <v>871</v>
      </c>
      <c r="I454" s="14" t="s">
        <v>875</v>
      </c>
      <c r="J454" s="14" t="s">
        <v>912</v>
      </c>
      <c r="K454" s="14" t="s">
        <v>881</v>
      </c>
    </row>
    <row r="455" spans="1:11" hidden="1" x14ac:dyDescent="0.25">
      <c r="A455" s="774">
        <v>56533</v>
      </c>
      <c r="B455" s="774">
        <v>1000</v>
      </c>
      <c r="C455" s="774">
        <v>100</v>
      </c>
      <c r="D455" s="774">
        <v>1000</v>
      </c>
      <c r="E455" s="774" t="s">
        <v>1395</v>
      </c>
      <c r="F455" s="774" t="s">
        <v>1464</v>
      </c>
      <c r="G455" s="777">
        <v>175.39</v>
      </c>
      <c r="H455" s="14" t="s">
        <v>871</v>
      </c>
      <c r="I455" s="14" t="s">
        <v>875</v>
      </c>
      <c r="J455" s="14" t="s">
        <v>876</v>
      </c>
      <c r="K455" s="14" t="s">
        <v>881</v>
      </c>
    </row>
    <row r="456" spans="1:11" hidden="1" x14ac:dyDescent="0.25">
      <c r="A456" s="774">
        <v>56533</v>
      </c>
      <c r="B456" s="774">
        <v>1000</v>
      </c>
      <c r="C456" s="774">
        <v>100</v>
      </c>
      <c r="D456" s="774">
        <v>2100</v>
      </c>
      <c r="E456" s="774" t="s">
        <v>1395</v>
      </c>
      <c r="F456" s="774" t="s">
        <v>1464</v>
      </c>
      <c r="G456" s="777">
        <v>22.52</v>
      </c>
      <c r="H456" s="14" t="s">
        <v>871</v>
      </c>
      <c r="I456" s="14" t="s">
        <v>875</v>
      </c>
      <c r="J456" s="14" t="s">
        <v>884</v>
      </c>
      <c r="K456" s="14" t="s">
        <v>881</v>
      </c>
    </row>
    <row r="457" spans="1:11" hidden="1" x14ac:dyDescent="0.25">
      <c r="A457" s="774">
        <v>56533</v>
      </c>
      <c r="B457" s="774">
        <v>1000</v>
      </c>
      <c r="C457" s="774">
        <v>100</v>
      </c>
      <c r="D457" s="774">
        <v>2300</v>
      </c>
      <c r="E457" s="774" t="s">
        <v>1395</v>
      </c>
      <c r="F457" s="774" t="s">
        <v>1464</v>
      </c>
      <c r="G457" s="777">
        <v>6.45</v>
      </c>
      <c r="H457" s="14" t="s">
        <v>871</v>
      </c>
      <c r="I457" s="14" t="s">
        <v>875</v>
      </c>
      <c r="J457" s="14" t="s">
        <v>900</v>
      </c>
      <c r="K457" s="14" t="s">
        <v>881</v>
      </c>
    </row>
    <row r="458" spans="1:11" hidden="1" x14ac:dyDescent="0.25">
      <c r="A458" s="774">
        <v>56533</v>
      </c>
      <c r="B458" s="774">
        <v>1000</v>
      </c>
      <c r="C458" s="774">
        <v>100</v>
      </c>
      <c r="D458" s="774">
        <v>2500</v>
      </c>
      <c r="E458" s="774" t="s">
        <v>1395</v>
      </c>
      <c r="F458" s="774" t="s">
        <v>1464</v>
      </c>
      <c r="G458" s="777">
        <v>711.4</v>
      </c>
      <c r="H458" s="14" t="s">
        <v>871</v>
      </c>
      <c r="I458" s="14" t="s">
        <v>875</v>
      </c>
      <c r="J458" s="14" t="s">
        <v>908</v>
      </c>
      <c r="K458" s="14" t="s">
        <v>881</v>
      </c>
    </row>
    <row r="459" spans="1:11" hidden="1" x14ac:dyDescent="0.25">
      <c r="A459" s="774">
        <v>56533</v>
      </c>
      <c r="B459" s="774">
        <v>1000</v>
      </c>
      <c r="C459" s="774">
        <v>200</v>
      </c>
      <c r="D459" s="774">
        <v>2100</v>
      </c>
      <c r="E459" s="774" t="s">
        <v>1395</v>
      </c>
      <c r="F459" s="774" t="s">
        <v>1464</v>
      </c>
      <c r="G459" s="777">
        <v>2.9</v>
      </c>
      <c r="H459" s="14" t="s">
        <v>871</v>
      </c>
      <c r="I459" s="14" t="s">
        <v>879</v>
      </c>
      <c r="J459" s="14" t="s">
        <v>884</v>
      </c>
      <c r="K459" s="14" t="s">
        <v>881</v>
      </c>
    </row>
    <row r="460" spans="1:11" hidden="1" x14ac:dyDescent="0.25">
      <c r="A460" s="774">
        <v>56550</v>
      </c>
      <c r="B460" s="774">
        <v>1000</v>
      </c>
      <c r="C460" s="774">
        <v>100</v>
      </c>
      <c r="D460" s="774">
        <v>1000</v>
      </c>
      <c r="E460" s="774" t="s">
        <v>1395</v>
      </c>
      <c r="F460" s="774" t="s">
        <v>1465</v>
      </c>
      <c r="G460" s="777">
        <v>4.6399999999999997</v>
      </c>
      <c r="H460" s="14" t="s">
        <v>871</v>
      </c>
      <c r="I460" s="14" t="s">
        <v>875</v>
      </c>
      <c r="J460" s="14" t="s">
        <v>876</v>
      </c>
      <c r="K460" s="14" t="s">
        <v>881</v>
      </c>
    </row>
    <row r="461" spans="1:11" hidden="1" x14ac:dyDescent="0.25">
      <c r="A461" s="774">
        <v>56550</v>
      </c>
      <c r="B461" s="774">
        <v>1000</v>
      </c>
      <c r="C461" s="774">
        <v>100</v>
      </c>
      <c r="D461" s="774">
        <v>2100</v>
      </c>
      <c r="E461" s="774" t="s">
        <v>1395</v>
      </c>
      <c r="F461" s="774" t="s">
        <v>1465</v>
      </c>
      <c r="G461" s="777">
        <v>129.5</v>
      </c>
      <c r="H461" s="14" t="s">
        <v>871</v>
      </c>
      <c r="I461" s="14" t="s">
        <v>875</v>
      </c>
      <c r="J461" s="14" t="s">
        <v>884</v>
      </c>
      <c r="K461" s="14" t="s">
        <v>881</v>
      </c>
    </row>
    <row r="462" spans="1:11" hidden="1" x14ac:dyDescent="0.25">
      <c r="A462" s="774">
        <v>56550</v>
      </c>
      <c r="B462" s="774">
        <v>1000</v>
      </c>
      <c r="C462" s="774">
        <v>100</v>
      </c>
      <c r="D462" s="774">
        <v>2400</v>
      </c>
      <c r="E462" s="774" t="s">
        <v>1395</v>
      </c>
      <c r="F462" s="774" t="s">
        <v>1465</v>
      </c>
      <c r="G462" s="777">
        <v>374.61</v>
      </c>
      <c r="H462" s="14" t="s">
        <v>871</v>
      </c>
      <c r="I462" s="14" t="s">
        <v>875</v>
      </c>
      <c r="J462" s="14" t="s">
        <v>904</v>
      </c>
      <c r="K462" s="14" t="s">
        <v>881</v>
      </c>
    </row>
    <row r="463" spans="1:11" hidden="1" x14ac:dyDescent="0.25">
      <c r="A463" s="774">
        <v>56550</v>
      </c>
      <c r="B463" s="774">
        <v>1000</v>
      </c>
      <c r="C463" s="774">
        <v>100</v>
      </c>
      <c r="D463" s="774">
        <v>2500</v>
      </c>
      <c r="E463" s="774" t="s">
        <v>1395</v>
      </c>
      <c r="F463" s="774" t="s">
        <v>1465</v>
      </c>
      <c r="G463" s="777">
        <v>803.13</v>
      </c>
      <c r="H463" s="14" t="s">
        <v>871</v>
      </c>
      <c r="I463" s="14" t="s">
        <v>875</v>
      </c>
      <c r="J463" s="14" t="s">
        <v>908</v>
      </c>
      <c r="K463" s="14" t="s">
        <v>881</v>
      </c>
    </row>
    <row r="464" spans="1:11" hidden="1" x14ac:dyDescent="0.25">
      <c r="A464" s="774">
        <v>56550</v>
      </c>
      <c r="B464" s="774">
        <v>1000</v>
      </c>
      <c r="C464" s="774">
        <v>100</v>
      </c>
      <c r="D464" s="774">
        <v>2510</v>
      </c>
      <c r="E464" s="774" t="s">
        <v>1395</v>
      </c>
      <c r="F464" s="774" t="s">
        <v>1465</v>
      </c>
      <c r="G464" s="777">
        <v>0.81</v>
      </c>
      <c r="H464" s="14" t="s">
        <v>871</v>
      </c>
      <c r="I464" s="14" t="s">
        <v>875</v>
      </c>
      <c r="J464" s="14" t="s">
        <v>908</v>
      </c>
      <c r="K464" s="14" t="s">
        <v>881</v>
      </c>
    </row>
    <row r="465" spans="1:11" hidden="1" x14ac:dyDescent="0.25">
      <c r="A465" s="774">
        <v>56550</v>
      </c>
      <c r="B465" s="774">
        <v>1000</v>
      </c>
      <c r="C465" s="774">
        <v>100</v>
      </c>
      <c r="D465" s="774">
        <v>2600</v>
      </c>
      <c r="E465" s="774" t="s">
        <v>1395</v>
      </c>
      <c r="F465" s="774" t="s">
        <v>1465</v>
      </c>
      <c r="G465" s="777">
        <v>34.369999999999997</v>
      </c>
      <c r="H465" s="14" t="s">
        <v>871</v>
      </c>
      <c r="I465" s="14" t="s">
        <v>875</v>
      </c>
      <c r="J465" s="14" t="s">
        <v>912</v>
      </c>
      <c r="K465" s="14" t="s">
        <v>881</v>
      </c>
    </row>
    <row r="466" spans="1:11" hidden="1" x14ac:dyDescent="0.25">
      <c r="A466" s="774">
        <v>56560</v>
      </c>
      <c r="B466" s="774">
        <v>1000</v>
      </c>
      <c r="C466" s="774">
        <v>200</v>
      </c>
      <c r="D466" s="774">
        <v>1000</v>
      </c>
      <c r="E466" s="774" t="s">
        <v>1395</v>
      </c>
      <c r="F466" s="774" t="s">
        <v>1466</v>
      </c>
      <c r="G466" s="777">
        <v>173</v>
      </c>
      <c r="H466" s="14" t="s">
        <v>871</v>
      </c>
      <c r="I466" s="14" t="s">
        <v>879</v>
      </c>
      <c r="J466" s="14" t="s">
        <v>876</v>
      </c>
      <c r="K466" s="14" t="s">
        <v>881</v>
      </c>
    </row>
    <row r="467" spans="1:11" hidden="1" x14ac:dyDescent="0.25">
      <c r="A467" s="774">
        <v>56580</v>
      </c>
      <c r="B467" s="774">
        <v>1000</v>
      </c>
      <c r="C467" s="774">
        <v>100</v>
      </c>
      <c r="D467" s="774">
        <v>1000</v>
      </c>
      <c r="E467" s="774" t="s">
        <v>1395</v>
      </c>
      <c r="F467" s="774" t="s">
        <v>1467</v>
      </c>
      <c r="G467" s="777">
        <v>88.15</v>
      </c>
      <c r="H467" s="14" t="s">
        <v>871</v>
      </c>
      <c r="I467" s="14" t="s">
        <v>875</v>
      </c>
      <c r="J467" s="14" t="s">
        <v>876</v>
      </c>
      <c r="K467" s="14" t="s">
        <v>881</v>
      </c>
    </row>
    <row r="468" spans="1:11" hidden="1" x14ac:dyDescent="0.25">
      <c r="A468" s="774">
        <v>56580</v>
      </c>
      <c r="B468" s="774">
        <v>1000</v>
      </c>
      <c r="C468" s="774">
        <v>100</v>
      </c>
      <c r="D468" s="774">
        <v>2100</v>
      </c>
      <c r="E468" s="774" t="s">
        <v>1395</v>
      </c>
      <c r="F468" s="774" t="s">
        <v>1467</v>
      </c>
      <c r="G468" s="777">
        <v>728.86</v>
      </c>
      <c r="H468" s="14" t="s">
        <v>871</v>
      </c>
      <c r="I468" s="14" t="s">
        <v>875</v>
      </c>
      <c r="J468" s="14" t="s">
        <v>884</v>
      </c>
      <c r="K468" s="14" t="s">
        <v>881</v>
      </c>
    </row>
    <row r="469" spans="1:11" hidden="1" x14ac:dyDescent="0.25">
      <c r="A469" s="774">
        <v>56580</v>
      </c>
      <c r="B469" s="774">
        <v>1000</v>
      </c>
      <c r="C469" s="774">
        <v>100</v>
      </c>
      <c r="D469" s="774">
        <v>2110</v>
      </c>
      <c r="E469" s="774" t="s">
        <v>1395</v>
      </c>
      <c r="F469" s="774" t="s">
        <v>1467</v>
      </c>
      <c r="G469" s="777">
        <v>62.44</v>
      </c>
      <c r="H469" s="14" t="s">
        <v>871</v>
      </c>
      <c r="I469" s="14" t="s">
        <v>875</v>
      </c>
      <c r="J469" s="14" t="s">
        <v>884</v>
      </c>
      <c r="K469" s="14" t="s">
        <v>881</v>
      </c>
    </row>
    <row r="470" spans="1:11" hidden="1" x14ac:dyDescent="0.25">
      <c r="A470" s="774">
        <v>56580</v>
      </c>
      <c r="B470" s="774">
        <v>1000</v>
      </c>
      <c r="C470" s="774">
        <v>100</v>
      </c>
      <c r="D470" s="774">
        <v>2200</v>
      </c>
      <c r="E470" s="774" t="s">
        <v>1395</v>
      </c>
      <c r="F470" s="774" t="s">
        <v>1467</v>
      </c>
      <c r="G470" s="777">
        <v>1835.21</v>
      </c>
      <c r="H470" s="14" t="s">
        <v>871</v>
      </c>
      <c r="I470" s="14" t="s">
        <v>875</v>
      </c>
      <c r="J470" s="14" t="s">
        <v>888</v>
      </c>
      <c r="K470" s="14" t="s">
        <v>881</v>
      </c>
    </row>
    <row r="471" spans="1:11" hidden="1" x14ac:dyDescent="0.25">
      <c r="A471" s="774">
        <v>56580</v>
      </c>
      <c r="B471" s="774">
        <v>1000</v>
      </c>
      <c r="C471" s="774">
        <v>100</v>
      </c>
      <c r="D471" s="774">
        <v>2300</v>
      </c>
      <c r="E471" s="774" t="s">
        <v>1395</v>
      </c>
      <c r="F471" s="774" t="s">
        <v>1467</v>
      </c>
      <c r="G471" s="777">
        <v>3488.06</v>
      </c>
      <c r="H471" s="14" t="s">
        <v>871</v>
      </c>
      <c r="I471" s="14" t="s">
        <v>875</v>
      </c>
      <c r="J471" s="14" t="s">
        <v>900</v>
      </c>
      <c r="K471" s="14" t="s">
        <v>881</v>
      </c>
    </row>
    <row r="472" spans="1:11" hidden="1" x14ac:dyDescent="0.25">
      <c r="A472" s="774">
        <v>56580</v>
      </c>
      <c r="B472" s="774">
        <v>1000</v>
      </c>
      <c r="C472" s="774">
        <v>100</v>
      </c>
      <c r="D472" s="774">
        <v>2400</v>
      </c>
      <c r="E472" s="774" t="s">
        <v>1395</v>
      </c>
      <c r="F472" s="774" t="s">
        <v>1467</v>
      </c>
      <c r="G472" s="777">
        <v>7.26</v>
      </c>
      <c r="H472" s="14" t="s">
        <v>871</v>
      </c>
      <c r="I472" s="14" t="s">
        <v>875</v>
      </c>
      <c r="J472" s="14" t="s">
        <v>904</v>
      </c>
      <c r="K472" s="14" t="s">
        <v>881</v>
      </c>
    </row>
    <row r="473" spans="1:11" hidden="1" x14ac:dyDescent="0.25">
      <c r="A473" s="774">
        <v>56580</v>
      </c>
      <c r="B473" s="774">
        <v>1000</v>
      </c>
      <c r="C473" s="774">
        <v>100</v>
      </c>
      <c r="D473" s="774">
        <v>2500</v>
      </c>
      <c r="E473" s="774" t="s">
        <v>1395</v>
      </c>
      <c r="F473" s="774" t="s">
        <v>1467</v>
      </c>
      <c r="G473" s="777">
        <v>7062.04</v>
      </c>
      <c r="H473" s="14" t="s">
        <v>871</v>
      </c>
      <c r="I473" s="14" t="s">
        <v>875</v>
      </c>
      <c r="J473" s="14" t="s">
        <v>908</v>
      </c>
      <c r="K473" s="14" t="s">
        <v>881</v>
      </c>
    </row>
    <row r="474" spans="1:11" hidden="1" x14ac:dyDescent="0.25">
      <c r="A474" s="774">
        <v>56580</v>
      </c>
      <c r="B474" s="774">
        <v>1000</v>
      </c>
      <c r="C474" s="774">
        <v>100</v>
      </c>
      <c r="D474" s="774">
        <v>2510</v>
      </c>
      <c r="E474" s="774" t="s">
        <v>1395</v>
      </c>
      <c r="F474" s="774" t="s">
        <v>1467</v>
      </c>
      <c r="G474" s="777">
        <v>202.54</v>
      </c>
      <c r="H474" s="14" t="s">
        <v>871</v>
      </c>
      <c r="I474" s="14" t="s">
        <v>875</v>
      </c>
      <c r="J474" s="14" t="s">
        <v>908</v>
      </c>
      <c r="K474" s="14" t="s">
        <v>881</v>
      </c>
    </row>
    <row r="475" spans="1:11" hidden="1" x14ac:dyDescent="0.25">
      <c r="A475" s="774">
        <v>56580</v>
      </c>
      <c r="B475" s="774">
        <v>1000</v>
      </c>
      <c r="C475" s="774">
        <v>200</v>
      </c>
      <c r="D475" s="774">
        <v>2500</v>
      </c>
      <c r="E475" s="774" t="s">
        <v>1395</v>
      </c>
      <c r="F475" s="774" t="s">
        <v>1467</v>
      </c>
      <c r="G475" s="777">
        <v>57.14</v>
      </c>
      <c r="H475" s="14" t="s">
        <v>871</v>
      </c>
      <c r="I475" s="14" t="s">
        <v>879</v>
      </c>
      <c r="J475" s="14" t="s">
        <v>908</v>
      </c>
      <c r="K475" s="14" t="s">
        <v>881</v>
      </c>
    </row>
    <row r="476" spans="1:11" hidden="1" x14ac:dyDescent="0.25">
      <c r="A476" s="774">
        <v>56580</v>
      </c>
      <c r="B476" s="774">
        <v>1000</v>
      </c>
      <c r="C476" s="774">
        <v>240</v>
      </c>
      <c r="D476" s="774">
        <v>1000</v>
      </c>
      <c r="E476" s="774" t="s">
        <v>1395</v>
      </c>
      <c r="F476" s="774" t="s">
        <v>1467</v>
      </c>
      <c r="G476" s="777">
        <v>66.06</v>
      </c>
      <c r="H476" s="14" t="s">
        <v>871</v>
      </c>
      <c r="I476" s="14" t="s">
        <v>879</v>
      </c>
      <c r="J476" s="14" t="s">
        <v>876</v>
      </c>
      <c r="K476" s="14" t="s">
        <v>881</v>
      </c>
    </row>
    <row r="477" spans="1:11" hidden="1" x14ac:dyDescent="0.25">
      <c r="A477" s="774">
        <v>56580</v>
      </c>
      <c r="B477" s="774">
        <v>1140</v>
      </c>
      <c r="C477" s="774">
        <v>100</v>
      </c>
      <c r="D477" s="774">
        <v>2200</v>
      </c>
      <c r="E477" s="774" t="s">
        <v>1395</v>
      </c>
      <c r="F477" s="774" t="s">
        <v>1467</v>
      </c>
      <c r="G477" s="777">
        <v>286.99</v>
      </c>
      <c r="H477" s="14" t="s">
        <v>890</v>
      </c>
      <c r="I477" s="14" t="s">
        <v>875</v>
      </c>
      <c r="J477" s="14" t="s">
        <v>888</v>
      </c>
      <c r="K477" s="14" t="s">
        <v>881</v>
      </c>
    </row>
    <row r="478" spans="1:11" hidden="1" x14ac:dyDescent="0.25">
      <c r="A478" s="774">
        <v>56580</v>
      </c>
      <c r="B478" s="774">
        <v>1767</v>
      </c>
      <c r="C478" s="774">
        <v>620</v>
      </c>
      <c r="D478" s="774">
        <v>1000</v>
      </c>
      <c r="E478" s="774" t="s">
        <v>1395</v>
      </c>
      <c r="F478" s="774" t="s">
        <v>1467</v>
      </c>
      <c r="G478" s="777">
        <v>709.61</v>
      </c>
      <c r="H478" s="14" t="s">
        <v>978</v>
      </c>
      <c r="I478" s="14" t="s">
        <v>923</v>
      </c>
      <c r="J478" s="14" t="s">
        <v>876</v>
      </c>
      <c r="K478" s="14" t="s">
        <v>881</v>
      </c>
    </row>
    <row r="479" spans="1:11" hidden="1" x14ac:dyDescent="0.25">
      <c r="A479" s="774">
        <v>56581</v>
      </c>
      <c r="B479" s="774">
        <v>1000</v>
      </c>
      <c r="C479" s="774">
        <v>100</v>
      </c>
      <c r="D479" s="774">
        <v>1000</v>
      </c>
      <c r="E479" s="774" t="s">
        <v>1395</v>
      </c>
      <c r="F479" s="774" t="s">
        <v>1468</v>
      </c>
      <c r="G479" s="777">
        <v>11.83</v>
      </c>
      <c r="H479" s="14" t="s">
        <v>871</v>
      </c>
      <c r="I479" s="14" t="s">
        <v>875</v>
      </c>
      <c r="J479" s="14" t="s">
        <v>876</v>
      </c>
      <c r="K479" s="14" t="s">
        <v>881</v>
      </c>
    </row>
    <row r="480" spans="1:11" hidden="1" x14ac:dyDescent="0.25">
      <c r="A480" s="774">
        <v>56581</v>
      </c>
      <c r="B480" s="774">
        <v>1000</v>
      </c>
      <c r="C480" s="774">
        <v>100</v>
      </c>
      <c r="D480" s="774">
        <v>2100</v>
      </c>
      <c r="E480" s="774" t="s">
        <v>1395</v>
      </c>
      <c r="F480" s="774" t="s">
        <v>1468</v>
      </c>
      <c r="G480" s="777">
        <v>146.58000000000001</v>
      </c>
      <c r="H480" s="14" t="s">
        <v>871</v>
      </c>
      <c r="I480" s="14" t="s">
        <v>875</v>
      </c>
      <c r="J480" s="14" t="s">
        <v>884</v>
      </c>
      <c r="K480" s="14" t="s">
        <v>881</v>
      </c>
    </row>
    <row r="481" spans="1:11" hidden="1" x14ac:dyDescent="0.25">
      <c r="A481" s="774">
        <v>56581</v>
      </c>
      <c r="B481" s="774">
        <v>1000</v>
      </c>
      <c r="C481" s="774">
        <v>100</v>
      </c>
      <c r="D481" s="774">
        <v>2200</v>
      </c>
      <c r="E481" s="774" t="s">
        <v>1395</v>
      </c>
      <c r="F481" s="774" t="s">
        <v>1468</v>
      </c>
      <c r="G481" s="777">
        <v>621.16999999999996</v>
      </c>
      <c r="H481" s="14" t="s">
        <v>871</v>
      </c>
      <c r="I481" s="14" t="s">
        <v>875</v>
      </c>
      <c r="J481" s="14" t="s">
        <v>888</v>
      </c>
      <c r="K481" s="14" t="s">
        <v>881</v>
      </c>
    </row>
    <row r="482" spans="1:11" hidden="1" x14ac:dyDescent="0.25">
      <c r="A482" s="774">
        <v>56581</v>
      </c>
      <c r="B482" s="774">
        <v>1000</v>
      </c>
      <c r="C482" s="774">
        <v>100</v>
      </c>
      <c r="D482" s="774">
        <v>2300</v>
      </c>
      <c r="E482" s="774" t="s">
        <v>1395</v>
      </c>
      <c r="F482" s="774" t="s">
        <v>1468</v>
      </c>
      <c r="G482" s="777">
        <v>78.11</v>
      </c>
      <c r="H482" s="14" t="s">
        <v>871</v>
      </c>
      <c r="I482" s="14" t="s">
        <v>875</v>
      </c>
      <c r="J482" s="14" t="s">
        <v>900</v>
      </c>
      <c r="K482" s="14" t="s">
        <v>881</v>
      </c>
    </row>
    <row r="483" spans="1:11" hidden="1" x14ac:dyDescent="0.25">
      <c r="A483" s="774">
        <v>56581</v>
      </c>
      <c r="B483" s="774">
        <v>1000</v>
      </c>
      <c r="C483" s="774">
        <v>100</v>
      </c>
      <c r="D483" s="774">
        <v>2500</v>
      </c>
      <c r="E483" s="774" t="s">
        <v>1395</v>
      </c>
      <c r="F483" s="774" t="s">
        <v>1468</v>
      </c>
      <c r="G483" s="777">
        <v>441.08</v>
      </c>
      <c r="H483" s="14" t="s">
        <v>871</v>
      </c>
      <c r="I483" s="14" t="s">
        <v>875</v>
      </c>
      <c r="J483" s="14" t="s">
        <v>908</v>
      </c>
      <c r="K483" s="14" t="s">
        <v>881</v>
      </c>
    </row>
    <row r="484" spans="1:11" hidden="1" x14ac:dyDescent="0.25">
      <c r="A484" s="774">
        <v>56581</v>
      </c>
      <c r="B484" s="774">
        <v>1000</v>
      </c>
      <c r="C484" s="774">
        <v>100</v>
      </c>
      <c r="D484" s="774">
        <v>2510</v>
      </c>
      <c r="E484" s="774" t="s">
        <v>1395</v>
      </c>
      <c r="F484" s="774" t="s">
        <v>1468</v>
      </c>
      <c r="G484" s="777">
        <v>57.08</v>
      </c>
      <c r="H484" s="14" t="s">
        <v>871</v>
      </c>
      <c r="I484" s="14" t="s">
        <v>875</v>
      </c>
      <c r="J484" s="14" t="s">
        <v>908</v>
      </c>
      <c r="K484" s="14" t="s">
        <v>881</v>
      </c>
    </row>
    <row r="485" spans="1:11" hidden="1" x14ac:dyDescent="0.25">
      <c r="A485" s="774">
        <v>56581</v>
      </c>
      <c r="B485" s="774">
        <v>1000</v>
      </c>
      <c r="C485" s="774">
        <v>100</v>
      </c>
      <c r="D485" s="774">
        <v>2600</v>
      </c>
      <c r="E485" s="774" t="s">
        <v>1395</v>
      </c>
      <c r="F485" s="774" t="s">
        <v>1468</v>
      </c>
      <c r="G485" s="777">
        <v>111.05</v>
      </c>
      <c r="H485" s="14" t="s">
        <v>871</v>
      </c>
      <c r="I485" s="14" t="s">
        <v>875</v>
      </c>
      <c r="J485" s="14" t="s">
        <v>912</v>
      </c>
      <c r="K485" s="14" t="s">
        <v>881</v>
      </c>
    </row>
    <row r="486" spans="1:11" hidden="1" x14ac:dyDescent="0.25">
      <c r="A486" s="774">
        <v>56581</v>
      </c>
      <c r="B486" s="774">
        <v>1000</v>
      </c>
      <c r="C486" s="774">
        <v>200</v>
      </c>
      <c r="D486" s="774">
        <v>2100</v>
      </c>
      <c r="E486" s="774" t="s">
        <v>1395</v>
      </c>
      <c r="F486" s="774" t="s">
        <v>1468</v>
      </c>
      <c r="G486" s="777">
        <v>47.45</v>
      </c>
      <c r="H486" s="14" t="s">
        <v>871</v>
      </c>
      <c r="I486" s="14" t="s">
        <v>879</v>
      </c>
      <c r="J486" s="14" t="s">
        <v>884</v>
      </c>
      <c r="K486" s="14" t="s">
        <v>881</v>
      </c>
    </row>
    <row r="487" spans="1:11" hidden="1" x14ac:dyDescent="0.25">
      <c r="A487" s="774">
        <v>56581</v>
      </c>
      <c r="B487" s="774">
        <v>1000</v>
      </c>
      <c r="C487" s="774">
        <v>200</v>
      </c>
      <c r="D487" s="774">
        <v>2500</v>
      </c>
      <c r="E487" s="774" t="s">
        <v>1395</v>
      </c>
      <c r="F487" s="774" t="s">
        <v>1468</v>
      </c>
      <c r="G487" s="777">
        <v>61.73</v>
      </c>
      <c r="H487" s="14" t="s">
        <v>871</v>
      </c>
      <c r="I487" s="14" t="s">
        <v>879</v>
      </c>
      <c r="J487" s="14" t="s">
        <v>908</v>
      </c>
      <c r="K487" s="14" t="s">
        <v>881</v>
      </c>
    </row>
    <row r="488" spans="1:11" hidden="1" x14ac:dyDescent="0.25">
      <c r="A488" s="774">
        <v>56581</v>
      </c>
      <c r="B488" s="774">
        <v>1140</v>
      </c>
      <c r="C488" s="774">
        <v>100</v>
      </c>
      <c r="D488" s="774">
        <v>2200</v>
      </c>
      <c r="E488" s="774" t="s">
        <v>1395</v>
      </c>
      <c r="F488" s="774" t="s">
        <v>1468</v>
      </c>
      <c r="G488" s="777">
        <v>393.66</v>
      </c>
      <c r="H488" s="14" t="s">
        <v>890</v>
      </c>
      <c r="I488" s="14" t="s">
        <v>875</v>
      </c>
      <c r="J488" s="14" t="s">
        <v>888</v>
      </c>
      <c r="K488" s="14" t="s">
        <v>881</v>
      </c>
    </row>
    <row r="489" spans="1:11" hidden="1" x14ac:dyDescent="0.25">
      <c r="A489" s="774">
        <v>56595</v>
      </c>
      <c r="B489" s="774">
        <v>1732</v>
      </c>
      <c r="C489" s="774">
        <v>620</v>
      </c>
      <c r="D489" s="774">
        <v>1000</v>
      </c>
      <c r="E489" s="774" t="s">
        <v>1395</v>
      </c>
      <c r="F489" s="774" t="s">
        <v>1469</v>
      </c>
      <c r="G489" s="777">
        <v>350</v>
      </c>
      <c r="H489" s="14" t="s">
        <v>978</v>
      </c>
      <c r="I489" s="14" t="s">
        <v>923</v>
      </c>
      <c r="J489" s="14" t="s">
        <v>876</v>
      </c>
      <c r="K489" s="14" t="s">
        <v>881</v>
      </c>
    </row>
    <row r="490" spans="1:11" hidden="1" x14ac:dyDescent="0.25">
      <c r="A490" s="774">
        <v>56595</v>
      </c>
      <c r="B490" s="774">
        <v>1737</v>
      </c>
      <c r="C490" s="774">
        <v>620</v>
      </c>
      <c r="D490" s="774">
        <v>1000</v>
      </c>
      <c r="E490" s="774" t="s">
        <v>1395</v>
      </c>
      <c r="F490" s="774" t="s">
        <v>1469</v>
      </c>
      <c r="G490" s="777">
        <v>1400</v>
      </c>
      <c r="H490" s="14" t="s">
        <v>978</v>
      </c>
      <c r="I490" s="14" t="s">
        <v>923</v>
      </c>
      <c r="J490" s="14" t="s">
        <v>876</v>
      </c>
      <c r="K490" s="14" t="s">
        <v>881</v>
      </c>
    </row>
    <row r="491" spans="1:11" hidden="1" x14ac:dyDescent="0.25">
      <c r="A491" s="774">
        <v>56595</v>
      </c>
      <c r="B491" s="774">
        <v>1743</v>
      </c>
      <c r="C491" s="774">
        <v>620</v>
      </c>
      <c r="D491" s="774">
        <v>1000</v>
      </c>
      <c r="E491" s="774" t="s">
        <v>1395</v>
      </c>
      <c r="F491" s="774" t="s">
        <v>1469</v>
      </c>
      <c r="G491" s="777">
        <v>1220</v>
      </c>
      <c r="H491" s="14" t="s">
        <v>978</v>
      </c>
      <c r="I491" s="14" t="s">
        <v>923</v>
      </c>
      <c r="J491" s="14" t="s">
        <v>876</v>
      </c>
      <c r="K491" s="14" t="s">
        <v>881</v>
      </c>
    </row>
    <row r="492" spans="1:11" hidden="1" x14ac:dyDescent="0.25">
      <c r="A492" s="774">
        <v>56610</v>
      </c>
      <c r="B492" s="774">
        <v>1000</v>
      </c>
      <c r="C492" s="774">
        <v>100</v>
      </c>
      <c r="D492" s="774">
        <v>1000</v>
      </c>
      <c r="E492" s="774" t="s">
        <v>1395</v>
      </c>
      <c r="F492" s="774" t="s">
        <v>1470</v>
      </c>
      <c r="G492" s="777">
        <v>9621.7199999999993</v>
      </c>
      <c r="H492" s="14" t="s">
        <v>871</v>
      </c>
      <c r="I492" s="14" t="s">
        <v>875</v>
      </c>
      <c r="J492" s="14" t="s">
        <v>876</v>
      </c>
      <c r="K492" s="14" t="s">
        <v>885</v>
      </c>
    </row>
    <row r="493" spans="1:11" hidden="1" x14ac:dyDescent="0.25">
      <c r="A493" s="774">
        <v>56610</v>
      </c>
      <c r="B493" s="774">
        <v>1000</v>
      </c>
      <c r="C493" s="774">
        <v>100</v>
      </c>
      <c r="D493" s="774">
        <v>2100</v>
      </c>
      <c r="E493" s="774" t="s">
        <v>1395</v>
      </c>
      <c r="F493" s="774" t="s">
        <v>1470</v>
      </c>
      <c r="G493" s="777">
        <v>3408.08</v>
      </c>
      <c r="H493" s="14" t="s">
        <v>871</v>
      </c>
      <c r="I493" s="14" t="s">
        <v>875</v>
      </c>
      <c r="J493" s="14" t="s">
        <v>884</v>
      </c>
      <c r="K493" s="14" t="s">
        <v>885</v>
      </c>
    </row>
    <row r="494" spans="1:11" hidden="1" x14ac:dyDescent="0.25">
      <c r="A494" s="774">
        <v>56610</v>
      </c>
      <c r="B494" s="774">
        <v>1000</v>
      </c>
      <c r="C494" s="774">
        <v>100</v>
      </c>
      <c r="D494" s="774">
        <v>2110</v>
      </c>
      <c r="E494" s="774" t="s">
        <v>1395</v>
      </c>
      <c r="F494" s="774" t="s">
        <v>1470</v>
      </c>
      <c r="G494" s="777">
        <v>7.79</v>
      </c>
      <c r="H494" s="14" t="s">
        <v>871</v>
      </c>
      <c r="I494" s="14" t="s">
        <v>875</v>
      </c>
      <c r="J494" s="14" t="s">
        <v>884</v>
      </c>
      <c r="K494" s="14" t="s">
        <v>885</v>
      </c>
    </row>
    <row r="495" spans="1:11" hidden="1" x14ac:dyDescent="0.25">
      <c r="A495" s="774">
        <v>56610</v>
      </c>
      <c r="B495" s="774">
        <v>1000</v>
      </c>
      <c r="C495" s="774">
        <v>100</v>
      </c>
      <c r="D495" s="774">
        <v>2200</v>
      </c>
      <c r="E495" s="774" t="s">
        <v>1395</v>
      </c>
      <c r="F495" s="774" t="s">
        <v>1470</v>
      </c>
      <c r="G495" s="777">
        <v>49.14</v>
      </c>
      <c r="H495" s="14" t="s">
        <v>871</v>
      </c>
      <c r="I495" s="14" t="s">
        <v>875</v>
      </c>
      <c r="J495" s="14" t="s">
        <v>888</v>
      </c>
      <c r="K495" s="14" t="s">
        <v>885</v>
      </c>
    </row>
    <row r="496" spans="1:11" hidden="1" x14ac:dyDescent="0.25">
      <c r="A496" s="774">
        <v>56610</v>
      </c>
      <c r="B496" s="774">
        <v>1000</v>
      </c>
      <c r="C496" s="774">
        <v>100</v>
      </c>
      <c r="D496" s="774">
        <v>2300</v>
      </c>
      <c r="E496" s="774" t="s">
        <v>1395</v>
      </c>
      <c r="F496" s="774" t="s">
        <v>1470</v>
      </c>
      <c r="G496" s="777">
        <v>224.12</v>
      </c>
      <c r="H496" s="14" t="s">
        <v>871</v>
      </c>
      <c r="I496" s="14" t="s">
        <v>875</v>
      </c>
      <c r="J496" s="14" t="s">
        <v>900</v>
      </c>
      <c r="K496" s="14" t="s">
        <v>885</v>
      </c>
    </row>
    <row r="497" spans="1:11" hidden="1" x14ac:dyDescent="0.25">
      <c r="A497" s="774">
        <v>56610</v>
      </c>
      <c r="B497" s="774">
        <v>1000</v>
      </c>
      <c r="C497" s="774">
        <v>100</v>
      </c>
      <c r="D497" s="774">
        <v>2400</v>
      </c>
      <c r="E497" s="774" t="s">
        <v>1395</v>
      </c>
      <c r="F497" s="774" t="s">
        <v>1470</v>
      </c>
      <c r="G497" s="777">
        <v>2570.3200000000002</v>
      </c>
      <c r="H497" s="14" t="s">
        <v>871</v>
      </c>
      <c r="I497" s="14" t="s">
        <v>875</v>
      </c>
      <c r="J497" s="14" t="s">
        <v>904</v>
      </c>
      <c r="K497" s="14" t="s">
        <v>885</v>
      </c>
    </row>
    <row r="498" spans="1:11" hidden="1" x14ac:dyDescent="0.25">
      <c r="A498" s="774">
        <v>56610</v>
      </c>
      <c r="B498" s="774">
        <v>1000</v>
      </c>
      <c r="C498" s="774">
        <v>100</v>
      </c>
      <c r="D498" s="774">
        <v>2410</v>
      </c>
      <c r="E498" s="774" t="s">
        <v>1395</v>
      </c>
      <c r="F498" s="774" t="s">
        <v>1470</v>
      </c>
      <c r="G498" s="777">
        <v>1.1200000000000001</v>
      </c>
      <c r="H498" s="14" t="s">
        <v>871</v>
      </c>
      <c r="I498" s="14" t="s">
        <v>875</v>
      </c>
      <c r="J498" s="14" t="s">
        <v>904</v>
      </c>
      <c r="K498" s="14" t="s">
        <v>885</v>
      </c>
    </row>
    <row r="499" spans="1:11" hidden="1" x14ac:dyDescent="0.25">
      <c r="A499" s="774">
        <v>56610</v>
      </c>
      <c r="B499" s="774">
        <v>1000</v>
      </c>
      <c r="C499" s="774">
        <v>100</v>
      </c>
      <c r="D499" s="774">
        <v>2500</v>
      </c>
      <c r="E499" s="774" t="s">
        <v>1395</v>
      </c>
      <c r="F499" s="774" t="s">
        <v>1470</v>
      </c>
      <c r="G499" s="777">
        <v>1407.16</v>
      </c>
      <c r="H499" s="14" t="s">
        <v>871</v>
      </c>
      <c r="I499" s="14" t="s">
        <v>875</v>
      </c>
      <c r="J499" s="14" t="s">
        <v>908</v>
      </c>
      <c r="K499" s="14" t="s">
        <v>885</v>
      </c>
    </row>
    <row r="500" spans="1:11" hidden="1" x14ac:dyDescent="0.25">
      <c r="A500" s="774">
        <v>56610</v>
      </c>
      <c r="B500" s="774">
        <v>1000</v>
      </c>
      <c r="C500" s="774">
        <v>100</v>
      </c>
      <c r="D500" s="774">
        <v>2510</v>
      </c>
      <c r="E500" s="774" t="s">
        <v>1395</v>
      </c>
      <c r="F500" s="774" t="s">
        <v>1470</v>
      </c>
      <c r="G500" s="777">
        <v>7.43</v>
      </c>
      <c r="H500" s="14" t="s">
        <v>871</v>
      </c>
      <c r="I500" s="14" t="s">
        <v>875</v>
      </c>
      <c r="J500" s="14" t="s">
        <v>908</v>
      </c>
      <c r="K500" s="14" t="s">
        <v>885</v>
      </c>
    </row>
    <row r="501" spans="1:11" hidden="1" x14ac:dyDescent="0.25">
      <c r="A501" s="774">
        <v>56610</v>
      </c>
      <c r="B501" s="774">
        <v>1000</v>
      </c>
      <c r="C501" s="774">
        <v>100</v>
      </c>
      <c r="D501" s="774">
        <v>2600</v>
      </c>
      <c r="E501" s="774" t="s">
        <v>1395</v>
      </c>
      <c r="F501" s="774" t="s">
        <v>1470</v>
      </c>
      <c r="G501" s="777">
        <v>1154.81</v>
      </c>
      <c r="H501" s="14" t="s">
        <v>871</v>
      </c>
      <c r="I501" s="14" t="s">
        <v>875</v>
      </c>
      <c r="J501" s="14" t="s">
        <v>912</v>
      </c>
      <c r="K501" s="14" t="s">
        <v>885</v>
      </c>
    </row>
    <row r="502" spans="1:11" hidden="1" x14ac:dyDescent="0.25">
      <c r="A502" s="774">
        <v>56610</v>
      </c>
      <c r="B502" s="774">
        <v>1000</v>
      </c>
      <c r="C502" s="774">
        <v>200</v>
      </c>
      <c r="D502" s="774">
        <v>2500</v>
      </c>
      <c r="E502" s="774" t="s">
        <v>1395</v>
      </c>
      <c r="F502" s="774" t="s">
        <v>1470</v>
      </c>
      <c r="G502" s="777">
        <v>21.91</v>
      </c>
      <c r="H502" s="14" t="s">
        <v>871</v>
      </c>
      <c r="I502" s="14" t="s">
        <v>879</v>
      </c>
      <c r="J502" s="14" t="s">
        <v>908</v>
      </c>
      <c r="K502" s="14" t="s">
        <v>885</v>
      </c>
    </row>
    <row r="503" spans="1:11" hidden="1" x14ac:dyDescent="0.25">
      <c r="A503" s="774">
        <v>56610</v>
      </c>
      <c r="B503" s="774">
        <v>1000</v>
      </c>
      <c r="C503" s="774">
        <v>240</v>
      </c>
      <c r="D503" s="774">
        <v>2100</v>
      </c>
      <c r="E503" s="774" t="s">
        <v>1395</v>
      </c>
      <c r="F503" s="774" t="s">
        <v>1470</v>
      </c>
      <c r="G503" s="777">
        <v>5.9</v>
      </c>
      <c r="H503" s="14" t="s">
        <v>871</v>
      </c>
      <c r="I503" s="14" t="s">
        <v>879</v>
      </c>
      <c r="J503" s="14" t="s">
        <v>884</v>
      </c>
      <c r="K503" s="14" t="s">
        <v>885</v>
      </c>
    </row>
    <row r="504" spans="1:11" hidden="1" x14ac:dyDescent="0.25">
      <c r="A504" s="774">
        <v>56610</v>
      </c>
      <c r="B504" s="774">
        <v>1140</v>
      </c>
      <c r="C504" s="774">
        <v>100</v>
      </c>
      <c r="D504" s="774">
        <v>2200</v>
      </c>
      <c r="E504" s="774" t="s">
        <v>1395</v>
      </c>
      <c r="F504" s="774" t="s">
        <v>1470</v>
      </c>
      <c r="G504" s="777">
        <v>569.27</v>
      </c>
      <c r="H504" s="14" t="s">
        <v>890</v>
      </c>
      <c r="I504" s="14" t="s">
        <v>875</v>
      </c>
      <c r="J504" s="14" t="s">
        <v>888</v>
      </c>
      <c r="K504" s="14" t="s">
        <v>885</v>
      </c>
    </row>
    <row r="505" spans="1:11" hidden="1" x14ac:dyDescent="0.25">
      <c r="A505" s="774">
        <v>56610</v>
      </c>
      <c r="B505" s="774">
        <v>1190</v>
      </c>
      <c r="C505" s="774">
        <v>100</v>
      </c>
      <c r="D505" s="774">
        <v>2200</v>
      </c>
      <c r="E505" s="774" t="s">
        <v>1395</v>
      </c>
      <c r="F505" s="774" t="s">
        <v>1470</v>
      </c>
      <c r="G505" s="777">
        <v>129.02000000000001</v>
      </c>
      <c r="H505" s="14" t="s">
        <v>902</v>
      </c>
      <c r="I505" s="14" t="s">
        <v>875</v>
      </c>
      <c r="J505" s="14" t="s">
        <v>888</v>
      </c>
      <c r="K505" s="14" t="s">
        <v>885</v>
      </c>
    </row>
    <row r="506" spans="1:11" hidden="1" x14ac:dyDescent="0.25">
      <c r="A506" s="774">
        <v>56610</v>
      </c>
      <c r="B506" s="774">
        <v>1542</v>
      </c>
      <c r="C506" s="774">
        <v>100</v>
      </c>
      <c r="D506" s="774">
        <v>1000</v>
      </c>
      <c r="E506" s="774" t="s">
        <v>1395</v>
      </c>
      <c r="F506" s="774" t="s">
        <v>1470</v>
      </c>
      <c r="G506" s="777">
        <v>1465.47</v>
      </c>
      <c r="H506" s="14" t="s">
        <v>978</v>
      </c>
      <c r="I506" s="14" t="s">
        <v>875</v>
      </c>
      <c r="J506" s="14" t="s">
        <v>876</v>
      </c>
      <c r="K506" s="14" t="s">
        <v>885</v>
      </c>
    </row>
    <row r="507" spans="1:11" hidden="1" x14ac:dyDescent="0.25">
      <c r="A507" s="774">
        <v>56610</v>
      </c>
      <c r="B507" s="774">
        <v>1542</v>
      </c>
      <c r="C507" s="774">
        <v>100</v>
      </c>
      <c r="D507" s="774">
        <v>2500</v>
      </c>
      <c r="E507" s="774" t="s">
        <v>1395</v>
      </c>
      <c r="F507" s="774" t="s">
        <v>1470</v>
      </c>
      <c r="G507" s="777">
        <v>332.79</v>
      </c>
      <c r="H507" s="14" t="s">
        <v>978</v>
      </c>
      <c r="I507" s="14" t="s">
        <v>875</v>
      </c>
      <c r="J507" s="14" t="s">
        <v>908</v>
      </c>
      <c r="K507" s="14" t="s">
        <v>885</v>
      </c>
    </row>
    <row r="508" spans="1:11" hidden="1" x14ac:dyDescent="0.25">
      <c r="A508" s="774">
        <v>56610</v>
      </c>
      <c r="B508" s="774">
        <v>1732</v>
      </c>
      <c r="C508" s="774">
        <v>620</v>
      </c>
      <c r="D508" s="774">
        <v>1000</v>
      </c>
      <c r="E508" s="774" t="s">
        <v>1395</v>
      </c>
      <c r="F508" s="774" t="s">
        <v>1470</v>
      </c>
      <c r="G508" s="777">
        <v>316.82</v>
      </c>
      <c r="H508" s="14" t="s">
        <v>978</v>
      </c>
      <c r="I508" s="14" t="s">
        <v>923</v>
      </c>
      <c r="J508" s="14" t="s">
        <v>876</v>
      </c>
      <c r="K508" s="14" t="s">
        <v>885</v>
      </c>
    </row>
    <row r="509" spans="1:11" hidden="1" x14ac:dyDescent="0.25">
      <c r="A509" s="774">
        <v>56610</v>
      </c>
      <c r="B509" s="774">
        <v>1734</v>
      </c>
      <c r="C509" s="774">
        <v>620</v>
      </c>
      <c r="D509" s="774">
        <v>1000</v>
      </c>
      <c r="E509" s="774" t="s">
        <v>1395</v>
      </c>
      <c r="F509" s="774" t="s">
        <v>1470</v>
      </c>
      <c r="G509" s="777">
        <v>95.85</v>
      </c>
      <c r="H509" s="14" t="s">
        <v>978</v>
      </c>
      <c r="I509" s="14" t="s">
        <v>923</v>
      </c>
      <c r="J509" s="14" t="s">
        <v>876</v>
      </c>
      <c r="K509" s="14" t="s">
        <v>885</v>
      </c>
    </row>
    <row r="510" spans="1:11" hidden="1" x14ac:dyDescent="0.25">
      <c r="A510" s="774">
        <v>56610</v>
      </c>
      <c r="B510" s="774">
        <v>1737</v>
      </c>
      <c r="C510" s="774">
        <v>620</v>
      </c>
      <c r="D510" s="774">
        <v>1000</v>
      </c>
      <c r="E510" s="774" t="s">
        <v>1395</v>
      </c>
      <c r="F510" s="774" t="s">
        <v>1470</v>
      </c>
      <c r="G510" s="777">
        <v>344.37</v>
      </c>
      <c r="H510" s="14" t="s">
        <v>978</v>
      </c>
      <c r="I510" s="14" t="s">
        <v>923</v>
      </c>
      <c r="J510" s="14" t="s">
        <v>876</v>
      </c>
      <c r="K510" s="14" t="s">
        <v>885</v>
      </c>
    </row>
    <row r="511" spans="1:11" hidden="1" x14ac:dyDescent="0.25">
      <c r="A511" s="774">
        <v>56610</v>
      </c>
      <c r="B511" s="774">
        <v>1739</v>
      </c>
      <c r="C511" s="774">
        <v>620</v>
      </c>
      <c r="D511" s="774">
        <v>1000</v>
      </c>
      <c r="E511" s="774" t="s">
        <v>1395</v>
      </c>
      <c r="F511" s="774" t="s">
        <v>1470</v>
      </c>
      <c r="G511" s="777">
        <v>125</v>
      </c>
      <c r="H511" s="14" t="s">
        <v>978</v>
      </c>
      <c r="I511" s="14" t="s">
        <v>923</v>
      </c>
      <c r="J511" s="14" t="s">
        <v>876</v>
      </c>
      <c r="K511" s="14" t="s">
        <v>885</v>
      </c>
    </row>
    <row r="512" spans="1:11" hidden="1" x14ac:dyDescent="0.25">
      <c r="A512" s="774">
        <v>56610</v>
      </c>
      <c r="B512" s="774">
        <v>1743</v>
      </c>
      <c r="C512" s="774">
        <v>620</v>
      </c>
      <c r="D512" s="774">
        <v>1000</v>
      </c>
      <c r="E512" s="774" t="s">
        <v>1395</v>
      </c>
      <c r="F512" s="774" t="s">
        <v>1470</v>
      </c>
      <c r="G512" s="777">
        <v>260</v>
      </c>
      <c r="H512" s="14" t="s">
        <v>978</v>
      </c>
      <c r="I512" s="14" t="s">
        <v>923</v>
      </c>
      <c r="J512" s="14" t="s">
        <v>876</v>
      </c>
      <c r="K512" s="14" t="s">
        <v>885</v>
      </c>
    </row>
    <row r="513" spans="1:11" hidden="1" x14ac:dyDescent="0.25">
      <c r="A513" s="774">
        <v>56610</v>
      </c>
      <c r="B513" s="774">
        <v>1745</v>
      </c>
      <c r="C513" s="774">
        <v>620</v>
      </c>
      <c r="D513" s="774">
        <v>1000</v>
      </c>
      <c r="E513" s="774" t="s">
        <v>1395</v>
      </c>
      <c r="F513" s="774" t="s">
        <v>1470</v>
      </c>
      <c r="G513" s="777">
        <v>344.37</v>
      </c>
      <c r="H513" s="14" t="s">
        <v>978</v>
      </c>
      <c r="I513" s="14" t="s">
        <v>923</v>
      </c>
      <c r="J513" s="14" t="s">
        <v>876</v>
      </c>
      <c r="K513" s="14" t="s">
        <v>885</v>
      </c>
    </row>
    <row r="514" spans="1:11" hidden="1" x14ac:dyDescent="0.25">
      <c r="A514" s="774">
        <v>56610</v>
      </c>
      <c r="B514" s="774">
        <v>1751</v>
      </c>
      <c r="C514" s="774">
        <v>620</v>
      </c>
      <c r="D514" s="774">
        <v>1000</v>
      </c>
      <c r="E514" s="774" t="s">
        <v>1395</v>
      </c>
      <c r="F514" s="774" t="s">
        <v>1470</v>
      </c>
      <c r="G514" s="777">
        <v>286.62</v>
      </c>
      <c r="H514" s="14" t="s">
        <v>978</v>
      </c>
      <c r="I514" s="14" t="s">
        <v>923</v>
      </c>
      <c r="J514" s="14" t="s">
        <v>876</v>
      </c>
      <c r="K514" s="14" t="s">
        <v>885</v>
      </c>
    </row>
    <row r="515" spans="1:11" hidden="1" x14ac:dyDescent="0.25">
      <c r="A515" s="774">
        <v>56610</v>
      </c>
      <c r="B515" s="774">
        <v>1766</v>
      </c>
      <c r="C515" s="774">
        <v>615</v>
      </c>
      <c r="D515" s="774">
        <v>1000</v>
      </c>
      <c r="E515" s="774" t="s">
        <v>1395</v>
      </c>
      <c r="F515" s="774" t="s">
        <v>1470</v>
      </c>
      <c r="G515" s="777">
        <v>45.37</v>
      </c>
      <c r="H515" s="14" t="s">
        <v>978</v>
      </c>
      <c r="I515" s="14" t="s">
        <v>919</v>
      </c>
      <c r="J515" s="14" t="s">
        <v>876</v>
      </c>
      <c r="K515" s="14" t="s">
        <v>885</v>
      </c>
    </row>
    <row r="516" spans="1:11" hidden="1" x14ac:dyDescent="0.25">
      <c r="A516" s="774">
        <v>56610</v>
      </c>
      <c r="B516" s="774">
        <v>1767</v>
      </c>
      <c r="C516" s="774">
        <v>620</v>
      </c>
      <c r="D516" s="774">
        <v>1000</v>
      </c>
      <c r="E516" s="774" t="s">
        <v>1395</v>
      </c>
      <c r="F516" s="774" t="s">
        <v>1470</v>
      </c>
      <c r="G516" s="777">
        <v>75.819999999999993</v>
      </c>
      <c r="H516" s="14" t="s">
        <v>978</v>
      </c>
      <c r="I516" s="14" t="s">
        <v>923</v>
      </c>
      <c r="J516" s="14" t="s">
        <v>876</v>
      </c>
      <c r="K516" s="14" t="s">
        <v>885</v>
      </c>
    </row>
    <row r="517" spans="1:11" hidden="1" x14ac:dyDescent="0.25">
      <c r="A517" s="774">
        <v>56610</v>
      </c>
      <c r="B517" s="774">
        <v>1805</v>
      </c>
      <c r="C517" s="774">
        <v>620</v>
      </c>
      <c r="D517" s="774">
        <v>1000</v>
      </c>
      <c r="E517" s="774" t="s">
        <v>1395</v>
      </c>
      <c r="F517" s="774" t="s">
        <v>1470</v>
      </c>
      <c r="G517" s="777">
        <v>234.17</v>
      </c>
      <c r="H517" s="14" t="s">
        <v>978</v>
      </c>
      <c r="I517" s="14" t="s">
        <v>923</v>
      </c>
      <c r="J517" s="14" t="s">
        <v>876</v>
      </c>
      <c r="K517" s="14" t="s">
        <v>885</v>
      </c>
    </row>
    <row r="518" spans="1:11" hidden="1" x14ac:dyDescent="0.25">
      <c r="A518" s="774">
        <v>56610</v>
      </c>
      <c r="B518" s="774">
        <v>1810</v>
      </c>
      <c r="C518" s="774">
        <v>615</v>
      </c>
      <c r="D518" s="774">
        <v>1000</v>
      </c>
      <c r="E518" s="774" t="s">
        <v>1395</v>
      </c>
      <c r="F518" s="774" t="s">
        <v>1470</v>
      </c>
      <c r="G518" s="777">
        <v>636.42999999999995</v>
      </c>
      <c r="H518" s="14" t="s">
        <v>978</v>
      </c>
      <c r="I518" s="14" t="s">
        <v>919</v>
      </c>
      <c r="J518" s="14" t="s">
        <v>876</v>
      </c>
      <c r="K518" s="14" t="s">
        <v>885</v>
      </c>
    </row>
    <row r="519" spans="1:11" hidden="1" x14ac:dyDescent="0.25">
      <c r="A519" s="774">
        <v>56610</v>
      </c>
      <c r="B519" s="774">
        <v>1833</v>
      </c>
      <c r="C519" s="774">
        <v>615</v>
      </c>
      <c r="D519" s="774">
        <v>1000</v>
      </c>
      <c r="E519" s="774" t="s">
        <v>1395</v>
      </c>
      <c r="F519" s="774" t="s">
        <v>1470</v>
      </c>
      <c r="G519" s="777">
        <v>181</v>
      </c>
      <c r="H519" s="14" t="s">
        <v>978</v>
      </c>
      <c r="I519" s="14" t="s">
        <v>919</v>
      </c>
      <c r="J519" s="14" t="s">
        <v>876</v>
      </c>
      <c r="K519" s="14" t="s">
        <v>885</v>
      </c>
    </row>
    <row r="520" spans="1:11" hidden="1" x14ac:dyDescent="0.25">
      <c r="A520" s="774">
        <v>56610</v>
      </c>
      <c r="B520" s="774">
        <v>1856</v>
      </c>
      <c r="C520" s="774">
        <v>620</v>
      </c>
      <c r="D520" s="774">
        <v>1000</v>
      </c>
      <c r="E520" s="774" t="s">
        <v>1395</v>
      </c>
      <c r="F520" s="774" t="s">
        <v>1470</v>
      </c>
      <c r="G520" s="777">
        <v>248.82</v>
      </c>
      <c r="H520" s="14" t="s">
        <v>978</v>
      </c>
      <c r="I520" s="14" t="s">
        <v>923</v>
      </c>
      <c r="J520" s="14" t="s">
        <v>876</v>
      </c>
      <c r="K520" s="14" t="s">
        <v>885</v>
      </c>
    </row>
    <row r="521" spans="1:11" hidden="1" x14ac:dyDescent="0.25">
      <c r="A521" s="774">
        <v>56610</v>
      </c>
      <c r="B521" s="774" t="s">
        <v>1403</v>
      </c>
      <c r="C521" s="774">
        <v>620</v>
      </c>
      <c r="D521" s="774">
        <v>1000</v>
      </c>
      <c r="E521" s="774" t="s">
        <v>1395</v>
      </c>
      <c r="F521" s="774" t="s">
        <v>1470</v>
      </c>
      <c r="G521" s="777">
        <v>639.42999999999995</v>
      </c>
      <c r="H521" s="14" t="s">
        <v>978</v>
      </c>
      <c r="I521" s="14" t="s">
        <v>923</v>
      </c>
      <c r="J521" s="14" t="s">
        <v>876</v>
      </c>
      <c r="K521" s="14" t="s">
        <v>885</v>
      </c>
    </row>
    <row r="522" spans="1:11" hidden="1" x14ac:dyDescent="0.25">
      <c r="A522" s="774">
        <v>56610</v>
      </c>
      <c r="B522" s="774" t="s">
        <v>1405</v>
      </c>
      <c r="C522" s="774">
        <v>620</v>
      </c>
      <c r="D522" s="774">
        <v>1000</v>
      </c>
      <c r="E522" s="774" t="s">
        <v>1395</v>
      </c>
      <c r="F522" s="774" t="s">
        <v>1470</v>
      </c>
      <c r="G522" s="777">
        <v>74.02</v>
      </c>
      <c r="H522" s="14" t="s">
        <v>978</v>
      </c>
      <c r="I522" s="14" t="s">
        <v>923</v>
      </c>
      <c r="J522" s="14" t="s">
        <v>876</v>
      </c>
      <c r="K522" s="14" t="s">
        <v>885</v>
      </c>
    </row>
    <row r="523" spans="1:11" hidden="1" x14ac:dyDescent="0.25">
      <c r="A523" s="774">
        <v>56613</v>
      </c>
      <c r="B523" s="774">
        <v>1000</v>
      </c>
      <c r="C523" s="774">
        <v>100</v>
      </c>
      <c r="D523" s="774">
        <v>2100</v>
      </c>
      <c r="E523" s="774" t="s">
        <v>1395</v>
      </c>
      <c r="F523" s="774" t="s">
        <v>1471</v>
      </c>
      <c r="G523" s="777">
        <v>2318.67</v>
      </c>
      <c r="H523" s="14" t="s">
        <v>871</v>
      </c>
      <c r="I523" s="14" t="s">
        <v>875</v>
      </c>
      <c r="J523" s="14" t="s">
        <v>884</v>
      </c>
      <c r="K523" s="14" t="s">
        <v>885</v>
      </c>
    </row>
    <row r="524" spans="1:11" hidden="1" x14ac:dyDescent="0.25">
      <c r="A524" s="774">
        <v>56614</v>
      </c>
      <c r="B524" s="774">
        <v>1000</v>
      </c>
      <c r="C524" s="774">
        <v>200</v>
      </c>
      <c r="D524" s="774">
        <v>2100</v>
      </c>
      <c r="E524" s="774" t="s">
        <v>1395</v>
      </c>
      <c r="F524" s="774" t="s">
        <v>1472</v>
      </c>
      <c r="G524" s="777">
        <v>1246.05</v>
      </c>
      <c r="H524" s="14" t="s">
        <v>871</v>
      </c>
      <c r="I524" s="14" t="s">
        <v>879</v>
      </c>
      <c r="J524" s="14" t="s">
        <v>884</v>
      </c>
      <c r="K524" s="14" t="s">
        <v>885</v>
      </c>
    </row>
    <row r="525" spans="1:11" hidden="1" x14ac:dyDescent="0.25">
      <c r="A525" s="774">
        <v>56614</v>
      </c>
      <c r="B525" s="774">
        <v>1000</v>
      </c>
      <c r="C525" s="774">
        <v>240</v>
      </c>
      <c r="D525" s="774">
        <v>2100</v>
      </c>
      <c r="E525" s="774" t="s">
        <v>1395</v>
      </c>
      <c r="F525" s="774" t="s">
        <v>1472</v>
      </c>
      <c r="G525" s="777">
        <v>246.22</v>
      </c>
      <c r="H525" s="14" t="s">
        <v>871</v>
      </c>
      <c r="I525" s="14" t="s">
        <v>879</v>
      </c>
      <c r="J525" s="14" t="s">
        <v>884</v>
      </c>
      <c r="K525" s="14" t="s">
        <v>885</v>
      </c>
    </row>
    <row r="526" spans="1:11" hidden="1" x14ac:dyDescent="0.25">
      <c r="A526" s="774">
        <v>56621</v>
      </c>
      <c r="B526" s="774">
        <v>1000</v>
      </c>
      <c r="C526" s="774">
        <v>100</v>
      </c>
      <c r="D526" s="774">
        <v>2600</v>
      </c>
      <c r="E526" s="774" t="s">
        <v>1395</v>
      </c>
      <c r="F526" s="774" t="s">
        <v>1473</v>
      </c>
      <c r="G526" s="777">
        <v>1117.97</v>
      </c>
      <c r="H526" s="14" t="s">
        <v>871</v>
      </c>
      <c r="I526" s="14" t="s">
        <v>875</v>
      </c>
      <c r="J526" s="14" t="s">
        <v>912</v>
      </c>
      <c r="K526" s="14" t="s">
        <v>885</v>
      </c>
    </row>
    <row r="527" spans="1:11" hidden="1" x14ac:dyDescent="0.25">
      <c r="A527" s="774">
        <v>56622</v>
      </c>
      <c r="B527" s="774">
        <v>1000</v>
      </c>
      <c r="C527" s="774">
        <v>100</v>
      </c>
      <c r="D527" s="774">
        <v>2600</v>
      </c>
      <c r="E527" s="774" t="s">
        <v>1395</v>
      </c>
      <c r="F527" s="774" t="s">
        <v>1474</v>
      </c>
      <c r="G527" s="777">
        <v>56751.7</v>
      </c>
      <c r="H527" s="14" t="s">
        <v>871</v>
      </c>
      <c r="I527" s="14" t="s">
        <v>875</v>
      </c>
      <c r="J527" s="14" t="s">
        <v>912</v>
      </c>
      <c r="K527" s="14" t="s">
        <v>885</v>
      </c>
    </row>
    <row r="528" spans="1:11" hidden="1" x14ac:dyDescent="0.25">
      <c r="A528" s="774">
        <v>56626</v>
      </c>
      <c r="B528" s="774" t="s">
        <v>1405</v>
      </c>
      <c r="C528" s="774">
        <v>620</v>
      </c>
      <c r="D528" s="774">
        <v>1000</v>
      </c>
      <c r="E528" s="774" t="s">
        <v>1395</v>
      </c>
      <c r="F528" s="774" t="s">
        <v>1475</v>
      </c>
      <c r="G528" s="777">
        <v>26.48</v>
      </c>
      <c r="H528" s="14" t="s">
        <v>978</v>
      </c>
      <c r="I528" s="14" t="s">
        <v>923</v>
      </c>
      <c r="J528" s="14" t="s">
        <v>876</v>
      </c>
      <c r="K528" s="14" t="s">
        <v>885</v>
      </c>
    </row>
    <row r="529" spans="1:11" hidden="1" x14ac:dyDescent="0.25">
      <c r="A529" s="774">
        <v>56640</v>
      </c>
      <c r="B529" s="774">
        <v>1000</v>
      </c>
      <c r="C529" s="774">
        <v>100</v>
      </c>
      <c r="D529" s="774">
        <v>1000</v>
      </c>
      <c r="E529" s="774" t="s">
        <v>1395</v>
      </c>
      <c r="F529" s="774" t="s">
        <v>1476</v>
      </c>
      <c r="G529" s="777">
        <v>31459.8</v>
      </c>
      <c r="H529" s="14" t="s">
        <v>871</v>
      </c>
      <c r="I529" s="14" t="s">
        <v>875</v>
      </c>
      <c r="J529" s="14" t="s">
        <v>876</v>
      </c>
      <c r="K529" s="14" t="s">
        <v>885</v>
      </c>
    </row>
    <row r="530" spans="1:11" hidden="1" x14ac:dyDescent="0.25">
      <c r="A530" s="774">
        <v>56640</v>
      </c>
      <c r="B530" s="774">
        <v>1000</v>
      </c>
      <c r="C530" s="774">
        <v>100</v>
      </c>
      <c r="D530" s="774">
        <v>2200</v>
      </c>
      <c r="E530" s="774" t="s">
        <v>1395</v>
      </c>
      <c r="F530" s="774" t="s">
        <v>1476</v>
      </c>
      <c r="G530" s="777">
        <v>1746.12</v>
      </c>
      <c r="H530" s="14" t="s">
        <v>871</v>
      </c>
      <c r="I530" s="14" t="s">
        <v>875</v>
      </c>
      <c r="J530" s="14" t="s">
        <v>888</v>
      </c>
      <c r="K530" s="14" t="s">
        <v>885</v>
      </c>
    </row>
    <row r="531" spans="1:11" hidden="1" x14ac:dyDescent="0.25">
      <c r="A531" s="774">
        <v>56640</v>
      </c>
      <c r="B531" s="774">
        <v>1000</v>
      </c>
      <c r="C531" s="774">
        <v>200</v>
      </c>
      <c r="D531" s="774">
        <v>2100</v>
      </c>
      <c r="E531" s="774" t="s">
        <v>1395</v>
      </c>
      <c r="F531" s="774" t="s">
        <v>1476</v>
      </c>
      <c r="G531" s="777">
        <v>111.83</v>
      </c>
      <c r="H531" s="14" t="s">
        <v>871</v>
      </c>
      <c r="I531" s="14" t="s">
        <v>879</v>
      </c>
      <c r="J531" s="14" t="s">
        <v>884</v>
      </c>
      <c r="K531" s="14" t="s">
        <v>885</v>
      </c>
    </row>
    <row r="532" spans="1:11" hidden="1" x14ac:dyDescent="0.25">
      <c r="A532" s="774">
        <v>56640</v>
      </c>
      <c r="B532" s="774">
        <v>1000</v>
      </c>
      <c r="C532" s="774">
        <v>200</v>
      </c>
      <c r="D532" s="774">
        <v>2110</v>
      </c>
      <c r="E532" s="774" t="s">
        <v>1395</v>
      </c>
      <c r="F532" s="774" t="s">
        <v>1476</v>
      </c>
      <c r="G532" s="777">
        <v>1.65</v>
      </c>
      <c r="H532" s="14" t="s">
        <v>871</v>
      </c>
      <c r="I532" s="14" t="s">
        <v>879</v>
      </c>
      <c r="J532" s="14" t="s">
        <v>884</v>
      </c>
      <c r="K532" s="14" t="s">
        <v>885</v>
      </c>
    </row>
    <row r="533" spans="1:11" hidden="1" x14ac:dyDescent="0.25">
      <c r="A533" s="774">
        <v>56640</v>
      </c>
      <c r="B533" s="774">
        <v>1020</v>
      </c>
      <c r="C533" s="774">
        <v>100</v>
      </c>
      <c r="D533" s="774">
        <v>1000</v>
      </c>
      <c r="E533" s="774" t="s">
        <v>1395</v>
      </c>
      <c r="F533" s="774" t="s">
        <v>1476</v>
      </c>
      <c r="G533" s="777">
        <v>25168.74</v>
      </c>
      <c r="H533" s="14" t="s">
        <v>874</v>
      </c>
      <c r="I533" s="14" t="s">
        <v>875</v>
      </c>
      <c r="J533" s="14" t="s">
        <v>876</v>
      </c>
      <c r="K533" s="14" t="s">
        <v>885</v>
      </c>
    </row>
    <row r="534" spans="1:11" hidden="1" x14ac:dyDescent="0.25">
      <c r="A534" s="774">
        <v>56642</v>
      </c>
      <c r="B534" s="774">
        <v>1000</v>
      </c>
      <c r="C534" s="774">
        <v>100</v>
      </c>
      <c r="D534" s="774">
        <v>1000</v>
      </c>
      <c r="E534" s="774" t="s">
        <v>1395</v>
      </c>
      <c r="F534" s="774" t="s">
        <v>1477</v>
      </c>
      <c r="G534" s="777">
        <v>15102.17</v>
      </c>
      <c r="H534" s="14" t="s">
        <v>871</v>
      </c>
      <c r="I534" s="14" t="s">
        <v>875</v>
      </c>
      <c r="J534" s="14" t="s">
        <v>876</v>
      </c>
      <c r="K534" s="14" t="s">
        <v>885</v>
      </c>
    </row>
    <row r="535" spans="1:11" hidden="1" x14ac:dyDescent="0.25">
      <c r="A535" s="774">
        <v>56650</v>
      </c>
      <c r="B535" s="774">
        <v>1000</v>
      </c>
      <c r="C535" s="774">
        <v>100</v>
      </c>
      <c r="D535" s="774">
        <v>2400</v>
      </c>
      <c r="E535" s="774" t="s">
        <v>1395</v>
      </c>
      <c r="F535" s="774" t="s">
        <v>1478</v>
      </c>
      <c r="G535" s="777">
        <v>0.59</v>
      </c>
      <c r="H535" s="14" t="s">
        <v>871</v>
      </c>
      <c r="I535" s="14" t="s">
        <v>875</v>
      </c>
      <c r="J535" s="14" t="s">
        <v>904</v>
      </c>
      <c r="K535" s="14" t="s">
        <v>885</v>
      </c>
    </row>
    <row r="536" spans="1:11" hidden="1" x14ac:dyDescent="0.25">
      <c r="A536" s="774">
        <v>56650</v>
      </c>
      <c r="B536" s="774">
        <v>1000</v>
      </c>
      <c r="C536" s="774">
        <v>100</v>
      </c>
      <c r="D536" s="774">
        <v>2500</v>
      </c>
      <c r="E536" s="774" t="s">
        <v>1395</v>
      </c>
      <c r="F536" s="774" t="s">
        <v>1478</v>
      </c>
      <c r="G536" s="777">
        <v>160.72999999999999</v>
      </c>
      <c r="H536" s="14" t="s">
        <v>871</v>
      </c>
      <c r="I536" s="14" t="s">
        <v>875</v>
      </c>
      <c r="J536" s="14" t="s">
        <v>908</v>
      </c>
      <c r="K536" s="14" t="s">
        <v>885</v>
      </c>
    </row>
    <row r="537" spans="1:11" hidden="1" x14ac:dyDescent="0.25">
      <c r="A537" s="774">
        <v>56650</v>
      </c>
      <c r="B537" s="774">
        <v>1000</v>
      </c>
      <c r="C537" s="774">
        <v>100</v>
      </c>
      <c r="D537" s="774">
        <v>2600</v>
      </c>
      <c r="E537" s="774" t="s">
        <v>1395</v>
      </c>
      <c r="F537" s="774" t="s">
        <v>1478</v>
      </c>
      <c r="G537" s="777">
        <v>1342.28</v>
      </c>
      <c r="H537" s="14" t="s">
        <v>871</v>
      </c>
      <c r="I537" s="14" t="s">
        <v>875</v>
      </c>
      <c r="J537" s="14" t="s">
        <v>912</v>
      </c>
      <c r="K537" s="14" t="s">
        <v>885</v>
      </c>
    </row>
    <row r="538" spans="1:11" hidden="1" x14ac:dyDescent="0.25">
      <c r="A538" s="774">
        <v>56699</v>
      </c>
      <c r="B538" s="774">
        <v>1000</v>
      </c>
      <c r="C538" s="774">
        <v>100</v>
      </c>
      <c r="D538" s="774">
        <v>1000</v>
      </c>
      <c r="E538" s="774" t="s">
        <v>1395</v>
      </c>
      <c r="F538" s="774" t="s">
        <v>1479</v>
      </c>
      <c r="G538" s="777">
        <v>14472.66</v>
      </c>
      <c r="H538" s="14" t="s">
        <v>871</v>
      </c>
      <c r="I538" s="14" t="s">
        <v>875</v>
      </c>
      <c r="J538" s="14" t="s">
        <v>876</v>
      </c>
      <c r="K538" s="14" t="s">
        <v>885</v>
      </c>
    </row>
    <row r="539" spans="1:11" hidden="1" x14ac:dyDescent="0.25">
      <c r="A539" s="774">
        <v>56699</v>
      </c>
      <c r="B539" s="774">
        <v>1000</v>
      </c>
      <c r="C539" s="774">
        <v>100</v>
      </c>
      <c r="D539" s="774">
        <v>2100</v>
      </c>
      <c r="E539" s="774" t="s">
        <v>1395</v>
      </c>
      <c r="F539" s="774" t="s">
        <v>1479</v>
      </c>
      <c r="G539" s="777">
        <v>164.16</v>
      </c>
      <c r="H539" s="14" t="s">
        <v>871</v>
      </c>
      <c r="I539" s="14" t="s">
        <v>875</v>
      </c>
      <c r="J539" s="14" t="s">
        <v>884</v>
      </c>
      <c r="K539" s="14" t="s">
        <v>885</v>
      </c>
    </row>
    <row r="540" spans="1:11" hidden="1" x14ac:dyDescent="0.25">
      <c r="A540" s="774">
        <v>56699</v>
      </c>
      <c r="B540" s="774">
        <v>1000</v>
      </c>
      <c r="C540" s="774">
        <v>100</v>
      </c>
      <c r="D540" s="774">
        <v>2400</v>
      </c>
      <c r="E540" s="774" t="s">
        <v>1395</v>
      </c>
      <c r="F540" s="774" t="s">
        <v>1479</v>
      </c>
      <c r="G540" s="777">
        <v>161.86000000000001</v>
      </c>
      <c r="H540" s="14" t="s">
        <v>871</v>
      </c>
      <c r="I540" s="14" t="s">
        <v>875</v>
      </c>
      <c r="J540" s="14" t="s">
        <v>904</v>
      </c>
      <c r="K540" s="14" t="s">
        <v>885</v>
      </c>
    </row>
    <row r="541" spans="1:11" hidden="1" x14ac:dyDescent="0.25">
      <c r="A541" s="774">
        <v>56699</v>
      </c>
      <c r="B541" s="774">
        <v>1000</v>
      </c>
      <c r="C541" s="774">
        <v>100</v>
      </c>
      <c r="D541" s="774">
        <v>2500</v>
      </c>
      <c r="E541" s="774" t="s">
        <v>1395</v>
      </c>
      <c r="F541" s="774" t="s">
        <v>1479</v>
      </c>
      <c r="G541" s="777">
        <v>8167.81</v>
      </c>
      <c r="H541" s="14" t="s">
        <v>871</v>
      </c>
      <c r="I541" s="14" t="s">
        <v>875</v>
      </c>
      <c r="J541" s="14" t="s">
        <v>908</v>
      </c>
      <c r="K541" s="14" t="s">
        <v>885</v>
      </c>
    </row>
    <row r="542" spans="1:11" hidden="1" x14ac:dyDescent="0.25">
      <c r="A542" s="774">
        <v>56699</v>
      </c>
      <c r="B542" s="774">
        <v>1000</v>
      </c>
      <c r="C542" s="774">
        <v>200</v>
      </c>
      <c r="D542" s="774">
        <v>2100</v>
      </c>
      <c r="E542" s="774" t="s">
        <v>1395</v>
      </c>
      <c r="F542" s="774" t="s">
        <v>1479</v>
      </c>
      <c r="G542" s="777">
        <v>673.37</v>
      </c>
      <c r="H542" s="14" t="s">
        <v>871</v>
      </c>
      <c r="I542" s="14" t="s">
        <v>879</v>
      </c>
      <c r="J542" s="14" t="s">
        <v>884</v>
      </c>
      <c r="K542" s="14" t="s">
        <v>885</v>
      </c>
    </row>
    <row r="543" spans="1:11" hidden="1" x14ac:dyDescent="0.25">
      <c r="A543" s="774">
        <v>56740</v>
      </c>
      <c r="B543" s="774">
        <v>1000</v>
      </c>
      <c r="C543" s="774">
        <v>100</v>
      </c>
      <c r="D543" s="774">
        <v>1000</v>
      </c>
      <c r="E543" s="774" t="s">
        <v>1395</v>
      </c>
      <c r="F543" s="774" t="s">
        <v>1480</v>
      </c>
      <c r="G543" s="777">
        <v>1998.51</v>
      </c>
      <c r="H543" s="14" t="s">
        <v>871</v>
      </c>
      <c r="I543" s="14" t="s">
        <v>875</v>
      </c>
      <c r="J543" s="14" t="s">
        <v>876</v>
      </c>
      <c r="K543" s="14" t="s">
        <v>889</v>
      </c>
    </row>
    <row r="544" spans="1:11" hidden="1" x14ac:dyDescent="0.25">
      <c r="A544" s="774">
        <v>56740</v>
      </c>
      <c r="B544" s="774">
        <v>1000</v>
      </c>
      <c r="C544" s="774">
        <v>100</v>
      </c>
      <c r="D544" s="774">
        <v>2500</v>
      </c>
      <c r="E544" s="774" t="s">
        <v>1395</v>
      </c>
      <c r="F544" s="774" t="s">
        <v>1480</v>
      </c>
      <c r="G544" s="777">
        <v>5995.53</v>
      </c>
      <c r="H544" s="14" t="s">
        <v>871</v>
      </c>
      <c r="I544" s="14" t="s">
        <v>875</v>
      </c>
      <c r="J544" s="14" t="s">
        <v>908</v>
      </c>
      <c r="K544" s="14" t="s">
        <v>889</v>
      </c>
    </row>
    <row r="545" spans="1:11" hidden="1" x14ac:dyDescent="0.25">
      <c r="A545" s="774">
        <v>56810</v>
      </c>
      <c r="B545" s="774">
        <v>1000</v>
      </c>
      <c r="C545" s="774">
        <v>100</v>
      </c>
      <c r="D545" s="774">
        <v>1000</v>
      </c>
      <c r="E545" s="774" t="s">
        <v>1395</v>
      </c>
      <c r="F545" s="774" t="s">
        <v>1481</v>
      </c>
      <c r="G545" s="777">
        <v>6.27</v>
      </c>
      <c r="H545" s="14" t="s">
        <v>871</v>
      </c>
      <c r="I545" s="14" t="s">
        <v>875</v>
      </c>
      <c r="J545" s="14" t="s">
        <v>876</v>
      </c>
      <c r="K545" s="14" t="s">
        <v>893</v>
      </c>
    </row>
    <row r="546" spans="1:11" hidden="1" x14ac:dyDescent="0.25">
      <c r="A546" s="774">
        <v>56810</v>
      </c>
      <c r="B546" s="774">
        <v>1000</v>
      </c>
      <c r="C546" s="774">
        <v>100</v>
      </c>
      <c r="D546" s="774">
        <v>2100</v>
      </c>
      <c r="E546" s="774" t="s">
        <v>1395</v>
      </c>
      <c r="F546" s="774" t="s">
        <v>1481</v>
      </c>
      <c r="G546" s="777">
        <v>43.71</v>
      </c>
      <c r="H546" s="14" t="s">
        <v>871</v>
      </c>
      <c r="I546" s="14" t="s">
        <v>875</v>
      </c>
      <c r="J546" s="14" t="s">
        <v>884</v>
      </c>
      <c r="K546" s="14" t="s">
        <v>893</v>
      </c>
    </row>
    <row r="547" spans="1:11" hidden="1" x14ac:dyDescent="0.25">
      <c r="A547" s="774">
        <v>56810</v>
      </c>
      <c r="B547" s="774">
        <v>1000</v>
      </c>
      <c r="C547" s="774">
        <v>100</v>
      </c>
      <c r="D547" s="774">
        <v>2300</v>
      </c>
      <c r="E547" s="774" t="s">
        <v>1395</v>
      </c>
      <c r="F547" s="774" t="s">
        <v>1481</v>
      </c>
      <c r="G547" s="777">
        <v>3732.95</v>
      </c>
      <c r="H547" s="14" t="s">
        <v>871</v>
      </c>
      <c r="I547" s="14" t="s">
        <v>875</v>
      </c>
      <c r="J547" s="14" t="s">
        <v>900</v>
      </c>
      <c r="K547" s="14" t="s">
        <v>893</v>
      </c>
    </row>
    <row r="548" spans="1:11" hidden="1" x14ac:dyDescent="0.25">
      <c r="A548" s="774">
        <v>56810</v>
      </c>
      <c r="B548" s="774">
        <v>1000</v>
      </c>
      <c r="C548" s="774">
        <v>100</v>
      </c>
      <c r="D548" s="774">
        <v>2400</v>
      </c>
      <c r="E548" s="774" t="s">
        <v>1395</v>
      </c>
      <c r="F548" s="774" t="s">
        <v>1481</v>
      </c>
      <c r="G548" s="777">
        <v>2125.8000000000002</v>
      </c>
      <c r="H548" s="14" t="s">
        <v>871</v>
      </c>
      <c r="I548" s="14" t="s">
        <v>875</v>
      </c>
      <c r="J548" s="14" t="s">
        <v>904</v>
      </c>
      <c r="K548" s="14" t="s">
        <v>893</v>
      </c>
    </row>
    <row r="549" spans="1:11" hidden="1" x14ac:dyDescent="0.25">
      <c r="A549" s="774">
        <v>56810</v>
      </c>
      <c r="B549" s="774">
        <v>1000</v>
      </c>
      <c r="C549" s="774">
        <v>100</v>
      </c>
      <c r="D549" s="774">
        <v>2500</v>
      </c>
      <c r="E549" s="774" t="s">
        <v>1395</v>
      </c>
      <c r="F549" s="774" t="s">
        <v>1481</v>
      </c>
      <c r="G549" s="777">
        <v>3393.9</v>
      </c>
      <c r="H549" s="14" t="s">
        <v>871</v>
      </c>
      <c r="I549" s="14" t="s">
        <v>875</v>
      </c>
      <c r="J549" s="14" t="s">
        <v>908</v>
      </c>
      <c r="K549" s="14" t="s">
        <v>893</v>
      </c>
    </row>
    <row r="550" spans="1:11" hidden="1" x14ac:dyDescent="0.25">
      <c r="A550" s="774">
        <v>56810</v>
      </c>
      <c r="B550" s="774">
        <v>1000</v>
      </c>
      <c r="C550" s="774">
        <v>100</v>
      </c>
      <c r="D550" s="774">
        <v>2600</v>
      </c>
      <c r="E550" s="774" t="s">
        <v>1395</v>
      </c>
      <c r="F550" s="774" t="s">
        <v>1481</v>
      </c>
      <c r="G550" s="777">
        <v>300</v>
      </c>
      <c r="H550" s="14" t="s">
        <v>871</v>
      </c>
      <c r="I550" s="14" t="s">
        <v>875</v>
      </c>
      <c r="J550" s="14" t="s">
        <v>912</v>
      </c>
      <c r="K550" s="14" t="s">
        <v>893</v>
      </c>
    </row>
    <row r="551" spans="1:11" hidden="1" x14ac:dyDescent="0.25">
      <c r="A551" s="774">
        <v>56810</v>
      </c>
      <c r="B551" s="774">
        <v>1000</v>
      </c>
      <c r="C551" s="774">
        <v>100</v>
      </c>
      <c r="D551" s="774">
        <v>3300</v>
      </c>
      <c r="E551" s="774" t="s">
        <v>1395</v>
      </c>
      <c r="F551" s="774" t="s">
        <v>1481</v>
      </c>
      <c r="G551" s="777">
        <v>9.19</v>
      </c>
      <c r="H551" s="14" t="s">
        <v>871</v>
      </c>
      <c r="I551" s="14" t="s">
        <v>875</v>
      </c>
      <c r="J551" s="14" t="s">
        <v>928</v>
      </c>
      <c r="K551" s="14" t="s">
        <v>893</v>
      </c>
    </row>
    <row r="552" spans="1:11" hidden="1" x14ac:dyDescent="0.25">
      <c r="A552" s="774">
        <v>56810</v>
      </c>
      <c r="B552" s="774">
        <v>1000</v>
      </c>
      <c r="C552" s="774">
        <v>200</v>
      </c>
      <c r="D552" s="774">
        <v>2200</v>
      </c>
      <c r="E552" s="774" t="s">
        <v>1395</v>
      </c>
      <c r="F552" s="774" t="s">
        <v>1481</v>
      </c>
      <c r="G552" s="777">
        <v>586.52</v>
      </c>
      <c r="H552" s="14" t="s">
        <v>871</v>
      </c>
      <c r="I552" s="14" t="s">
        <v>879</v>
      </c>
      <c r="J552" s="14" t="s">
        <v>888</v>
      </c>
      <c r="K552" s="14" t="s">
        <v>893</v>
      </c>
    </row>
    <row r="553" spans="1:11" hidden="1" x14ac:dyDescent="0.25">
      <c r="A553" s="774">
        <v>56810</v>
      </c>
      <c r="B553" s="774">
        <v>1542</v>
      </c>
      <c r="C553" s="774">
        <v>100</v>
      </c>
      <c r="D553" s="774">
        <v>1000</v>
      </c>
      <c r="E553" s="774" t="s">
        <v>1395</v>
      </c>
      <c r="F553" s="774" t="s">
        <v>1481</v>
      </c>
      <c r="G553" s="777">
        <v>112.85</v>
      </c>
      <c r="H553" s="14" t="s">
        <v>978</v>
      </c>
      <c r="I553" s="14" t="s">
        <v>875</v>
      </c>
      <c r="J553" s="14" t="s">
        <v>876</v>
      </c>
      <c r="K553" s="14" t="s">
        <v>893</v>
      </c>
    </row>
    <row r="554" spans="1:11" hidden="1" x14ac:dyDescent="0.25">
      <c r="A554" s="774">
        <v>56810</v>
      </c>
      <c r="B554" s="774">
        <v>1542</v>
      </c>
      <c r="C554" s="774">
        <v>615</v>
      </c>
      <c r="D554" s="774">
        <v>1000</v>
      </c>
      <c r="E554" s="774" t="s">
        <v>1395</v>
      </c>
      <c r="F554" s="774" t="s">
        <v>1481</v>
      </c>
      <c r="G554" s="777">
        <v>160</v>
      </c>
      <c r="H554" s="14" t="s">
        <v>978</v>
      </c>
      <c r="I554" s="14" t="s">
        <v>919</v>
      </c>
      <c r="J554" s="14" t="s">
        <v>876</v>
      </c>
      <c r="K554" s="14" t="s">
        <v>893</v>
      </c>
    </row>
    <row r="555" spans="1:11" hidden="1" x14ac:dyDescent="0.25">
      <c r="A555" s="774">
        <v>56810</v>
      </c>
      <c r="B555" s="774">
        <v>1710</v>
      </c>
      <c r="C555" s="774">
        <v>100</v>
      </c>
      <c r="D555" s="774">
        <v>1000</v>
      </c>
      <c r="E555" s="774" t="s">
        <v>1395</v>
      </c>
      <c r="F555" s="774" t="s">
        <v>1481</v>
      </c>
      <c r="G555" s="777">
        <v>15994.73</v>
      </c>
      <c r="H555" s="14" t="s">
        <v>978</v>
      </c>
      <c r="I555" s="14" t="s">
        <v>875</v>
      </c>
      <c r="J555" s="14" t="s">
        <v>876</v>
      </c>
      <c r="K555" s="14" t="s">
        <v>893</v>
      </c>
    </row>
    <row r="556" spans="1:11" hidden="1" x14ac:dyDescent="0.25">
      <c r="A556" s="774">
        <v>56810</v>
      </c>
      <c r="B556" s="774">
        <v>1710</v>
      </c>
      <c r="C556" s="774">
        <v>611</v>
      </c>
      <c r="D556" s="774">
        <v>1000</v>
      </c>
      <c r="E556" s="774" t="s">
        <v>1395</v>
      </c>
      <c r="F556" s="774" t="s">
        <v>1481</v>
      </c>
      <c r="G556" s="777">
        <v>3170</v>
      </c>
      <c r="H556" s="14" t="s">
        <v>978</v>
      </c>
      <c r="I556" s="14" t="s">
        <v>919</v>
      </c>
      <c r="J556" s="14" t="s">
        <v>876</v>
      </c>
      <c r="K556" s="14" t="s">
        <v>893</v>
      </c>
    </row>
    <row r="557" spans="1:11" hidden="1" x14ac:dyDescent="0.25">
      <c r="A557" s="774">
        <v>56810</v>
      </c>
      <c r="B557" s="774">
        <v>1732</v>
      </c>
      <c r="C557" s="774">
        <v>620</v>
      </c>
      <c r="D557" s="774">
        <v>1000</v>
      </c>
      <c r="E557" s="774" t="s">
        <v>1395</v>
      </c>
      <c r="F557" s="774" t="s">
        <v>1481</v>
      </c>
      <c r="G557" s="777">
        <v>993.75</v>
      </c>
      <c r="H557" s="14" t="s">
        <v>978</v>
      </c>
      <c r="I557" s="14" t="s">
        <v>923</v>
      </c>
      <c r="J557" s="14" t="s">
        <v>876</v>
      </c>
      <c r="K557" s="14" t="s">
        <v>893</v>
      </c>
    </row>
    <row r="558" spans="1:11" hidden="1" x14ac:dyDescent="0.25">
      <c r="A558" s="774">
        <v>56810</v>
      </c>
      <c r="B558" s="774">
        <v>1734</v>
      </c>
      <c r="C558" s="774">
        <v>620</v>
      </c>
      <c r="D558" s="774">
        <v>1000</v>
      </c>
      <c r="E558" s="774" t="s">
        <v>1395</v>
      </c>
      <c r="F558" s="774" t="s">
        <v>1481</v>
      </c>
      <c r="G558" s="777">
        <v>1113.75</v>
      </c>
      <c r="H558" s="14" t="s">
        <v>978</v>
      </c>
      <c r="I558" s="14" t="s">
        <v>923</v>
      </c>
      <c r="J558" s="14" t="s">
        <v>876</v>
      </c>
      <c r="K558" s="14" t="s">
        <v>893</v>
      </c>
    </row>
    <row r="559" spans="1:11" hidden="1" x14ac:dyDescent="0.25">
      <c r="A559" s="774">
        <v>56810</v>
      </c>
      <c r="B559" s="774">
        <v>1737</v>
      </c>
      <c r="C559" s="774">
        <v>620</v>
      </c>
      <c r="D559" s="774">
        <v>1000</v>
      </c>
      <c r="E559" s="774" t="s">
        <v>1395</v>
      </c>
      <c r="F559" s="774" t="s">
        <v>1481</v>
      </c>
      <c r="G559" s="777">
        <v>750</v>
      </c>
      <c r="H559" s="14" t="s">
        <v>978</v>
      </c>
      <c r="I559" s="14" t="s">
        <v>923</v>
      </c>
      <c r="J559" s="14" t="s">
        <v>876</v>
      </c>
      <c r="K559" s="14" t="s">
        <v>893</v>
      </c>
    </row>
    <row r="560" spans="1:11" hidden="1" x14ac:dyDescent="0.25">
      <c r="A560" s="774">
        <v>56810</v>
      </c>
      <c r="B560" s="774">
        <v>1743</v>
      </c>
      <c r="C560" s="774">
        <v>620</v>
      </c>
      <c r="D560" s="774">
        <v>1000</v>
      </c>
      <c r="E560" s="774" t="s">
        <v>1395</v>
      </c>
      <c r="F560" s="774" t="s">
        <v>1481</v>
      </c>
      <c r="G560" s="777">
        <v>593.75</v>
      </c>
      <c r="H560" s="14" t="s">
        <v>978</v>
      </c>
      <c r="I560" s="14" t="s">
        <v>923</v>
      </c>
      <c r="J560" s="14" t="s">
        <v>876</v>
      </c>
      <c r="K560" s="14" t="s">
        <v>893</v>
      </c>
    </row>
    <row r="561" spans="1:11" hidden="1" x14ac:dyDescent="0.25">
      <c r="A561" s="774">
        <v>56810</v>
      </c>
      <c r="B561" s="774">
        <v>1745</v>
      </c>
      <c r="C561" s="774">
        <v>620</v>
      </c>
      <c r="D561" s="774">
        <v>1000</v>
      </c>
      <c r="E561" s="774" t="s">
        <v>1395</v>
      </c>
      <c r="F561" s="774" t="s">
        <v>1481</v>
      </c>
      <c r="G561" s="777">
        <v>2005</v>
      </c>
      <c r="H561" s="14" t="s">
        <v>978</v>
      </c>
      <c r="I561" s="14" t="s">
        <v>923</v>
      </c>
      <c r="J561" s="14" t="s">
        <v>876</v>
      </c>
      <c r="K561" s="14" t="s">
        <v>893</v>
      </c>
    </row>
    <row r="562" spans="1:11" hidden="1" x14ac:dyDescent="0.25">
      <c r="A562" s="774">
        <v>56810</v>
      </c>
      <c r="B562" s="774">
        <v>1805</v>
      </c>
      <c r="C562" s="774">
        <v>615</v>
      </c>
      <c r="D562" s="774">
        <v>1000</v>
      </c>
      <c r="E562" s="774" t="s">
        <v>1395</v>
      </c>
      <c r="F562" s="774" t="s">
        <v>1481</v>
      </c>
      <c r="G562" s="777">
        <v>1031.68</v>
      </c>
      <c r="H562" s="14" t="s">
        <v>978</v>
      </c>
      <c r="I562" s="14" t="s">
        <v>919</v>
      </c>
      <c r="J562" s="14" t="s">
        <v>876</v>
      </c>
      <c r="K562" s="14" t="s">
        <v>893</v>
      </c>
    </row>
    <row r="563" spans="1:11" hidden="1" x14ac:dyDescent="0.25">
      <c r="A563" s="774">
        <v>56810</v>
      </c>
      <c r="B563" s="774">
        <v>1856</v>
      </c>
      <c r="C563" s="774">
        <v>620</v>
      </c>
      <c r="D563" s="774">
        <v>1000</v>
      </c>
      <c r="E563" s="774" t="s">
        <v>1395</v>
      </c>
      <c r="F563" s="774" t="s">
        <v>1481</v>
      </c>
      <c r="G563" s="777">
        <v>1408.75</v>
      </c>
      <c r="H563" s="14" t="s">
        <v>978</v>
      </c>
      <c r="I563" s="14" t="s">
        <v>923</v>
      </c>
      <c r="J563" s="14" t="s">
        <v>876</v>
      </c>
      <c r="K563" s="14" t="s">
        <v>893</v>
      </c>
    </row>
    <row r="564" spans="1:11" hidden="1" x14ac:dyDescent="0.25">
      <c r="A564" s="774">
        <v>56810</v>
      </c>
      <c r="B564" s="774" t="s">
        <v>1401</v>
      </c>
      <c r="C564" s="774">
        <v>611</v>
      </c>
      <c r="D564" s="774">
        <v>1000</v>
      </c>
      <c r="E564" s="774" t="s">
        <v>1395</v>
      </c>
      <c r="F564" s="774" t="s">
        <v>1481</v>
      </c>
      <c r="G564" s="777">
        <v>720</v>
      </c>
      <c r="H564" s="14" t="s">
        <v>978</v>
      </c>
      <c r="I564" s="14" t="s">
        <v>919</v>
      </c>
      <c r="J564" s="14" t="s">
        <v>876</v>
      </c>
      <c r="K564" s="14" t="s">
        <v>893</v>
      </c>
    </row>
    <row r="565" spans="1:11" hidden="1" x14ac:dyDescent="0.25">
      <c r="A565" s="774">
        <v>56811</v>
      </c>
      <c r="B565" s="774">
        <v>1000</v>
      </c>
      <c r="C565" s="774">
        <v>100</v>
      </c>
      <c r="D565" s="774">
        <v>1000</v>
      </c>
      <c r="E565" s="774" t="s">
        <v>1395</v>
      </c>
      <c r="F565" s="774" t="s">
        <v>1482</v>
      </c>
      <c r="G565" s="777">
        <v>6349.79</v>
      </c>
      <c r="H565" s="14" t="s">
        <v>871</v>
      </c>
      <c r="I565" s="14" t="s">
        <v>875</v>
      </c>
      <c r="J565" s="14" t="s">
        <v>876</v>
      </c>
      <c r="K565" s="14" t="s">
        <v>893</v>
      </c>
    </row>
    <row r="566" spans="1:11" hidden="1" x14ac:dyDescent="0.25">
      <c r="A566" s="774">
        <v>56811</v>
      </c>
      <c r="B566" s="774">
        <v>1000</v>
      </c>
      <c r="C566" s="774">
        <v>100</v>
      </c>
      <c r="D566" s="774">
        <v>2100</v>
      </c>
      <c r="E566" s="774" t="s">
        <v>1395</v>
      </c>
      <c r="F566" s="774" t="s">
        <v>1482</v>
      </c>
      <c r="G566" s="777">
        <v>345.89</v>
      </c>
      <c r="H566" s="14" t="s">
        <v>871</v>
      </c>
      <c r="I566" s="14" t="s">
        <v>875</v>
      </c>
      <c r="J566" s="14" t="s">
        <v>884</v>
      </c>
      <c r="K566" s="14" t="s">
        <v>893</v>
      </c>
    </row>
    <row r="567" spans="1:11" hidden="1" x14ac:dyDescent="0.25">
      <c r="A567" s="774">
        <v>56811</v>
      </c>
      <c r="B567" s="774">
        <v>1000</v>
      </c>
      <c r="C567" s="774">
        <v>100</v>
      </c>
      <c r="D567" s="774">
        <v>2200</v>
      </c>
      <c r="E567" s="774" t="s">
        <v>1395</v>
      </c>
      <c r="F567" s="774" t="s">
        <v>1482</v>
      </c>
      <c r="G567" s="777">
        <v>21.34</v>
      </c>
      <c r="H567" s="14" t="s">
        <v>871</v>
      </c>
      <c r="I567" s="14" t="s">
        <v>875</v>
      </c>
      <c r="J567" s="14" t="s">
        <v>888</v>
      </c>
      <c r="K567" s="14" t="s">
        <v>893</v>
      </c>
    </row>
    <row r="568" spans="1:11" hidden="1" x14ac:dyDescent="0.25">
      <c r="A568" s="774">
        <v>56811</v>
      </c>
      <c r="B568" s="774">
        <v>1000</v>
      </c>
      <c r="C568" s="774">
        <v>100</v>
      </c>
      <c r="D568" s="774">
        <v>2300</v>
      </c>
      <c r="E568" s="774" t="s">
        <v>1395</v>
      </c>
      <c r="F568" s="774" t="s">
        <v>1482</v>
      </c>
      <c r="G568" s="777">
        <v>19.8</v>
      </c>
      <c r="H568" s="14" t="s">
        <v>871</v>
      </c>
      <c r="I568" s="14" t="s">
        <v>875</v>
      </c>
      <c r="J568" s="14" t="s">
        <v>900</v>
      </c>
      <c r="K568" s="14" t="s">
        <v>893</v>
      </c>
    </row>
    <row r="569" spans="1:11" hidden="1" x14ac:dyDescent="0.25">
      <c r="A569" s="774">
        <v>56811</v>
      </c>
      <c r="B569" s="774">
        <v>1000</v>
      </c>
      <c r="C569" s="774">
        <v>100</v>
      </c>
      <c r="D569" s="774">
        <v>2400</v>
      </c>
      <c r="E569" s="774" t="s">
        <v>1395</v>
      </c>
      <c r="F569" s="774" t="s">
        <v>1482</v>
      </c>
      <c r="G569" s="777">
        <v>130.69</v>
      </c>
      <c r="H569" s="14" t="s">
        <v>871</v>
      </c>
      <c r="I569" s="14" t="s">
        <v>875</v>
      </c>
      <c r="J569" s="14" t="s">
        <v>904</v>
      </c>
      <c r="K569" s="14" t="s">
        <v>893</v>
      </c>
    </row>
    <row r="570" spans="1:11" hidden="1" x14ac:dyDescent="0.25">
      <c r="A570" s="774">
        <v>56811</v>
      </c>
      <c r="B570" s="774">
        <v>1000</v>
      </c>
      <c r="C570" s="774">
        <v>100</v>
      </c>
      <c r="D570" s="774">
        <v>2500</v>
      </c>
      <c r="E570" s="774" t="s">
        <v>1395</v>
      </c>
      <c r="F570" s="774" t="s">
        <v>1482</v>
      </c>
      <c r="G570" s="777">
        <v>66429.89</v>
      </c>
      <c r="H570" s="14" t="s">
        <v>871</v>
      </c>
      <c r="I570" s="14" t="s">
        <v>875</v>
      </c>
      <c r="J570" s="14" t="s">
        <v>908</v>
      </c>
      <c r="K570" s="14" t="s">
        <v>893</v>
      </c>
    </row>
    <row r="571" spans="1:11" hidden="1" x14ac:dyDescent="0.25">
      <c r="A571" s="774">
        <v>56811</v>
      </c>
      <c r="B571" s="774">
        <v>1000</v>
      </c>
      <c r="C571" s="774">
        <v>100</v>
      </c>
      <c r="D571" s="774">
        <v>2600</v>
      </c>
      <c r="E571" s="774" t="s">
        <v>1395</v>
      </c>
      <c r="F571" s="774" t="s">
        <v>1482</v>
      </c>
      <c r="G571" s="777">
        <v>2781.8</v>
      </c>
      <c r="H571" s="14" t="s">
        <v>871</v>
      </c>
      <c r="I571" s="14" t="s">
        <v>875</v>
      </c>
      <c r="J571" s="14" t="s">
        <v>912</v>
      </c>
      <c r="K571" s="14" t="s">
        <v>893</v>
      </c>
    </row>
    <row r="572" spans="1:11" hidden="1" x14ac:dyDescent="0.25">
      <c r="A572" s="774">
        <v>56811</v>
      </c>
      <c r="B572" s="774">
        <v>1000</v>
      </c>
      <c r="C572" s="774">
        <v>200</v>
      </c>
      <c r="D572" s="774">
        <v>2100</v>
      </c>
      <c r="E572" s="774" t="s">
        <v>1395</v>
      </c>
      <c r="F572" s="774" t="s">
        <v>1482</v>
      </c>
      <c r="G572" s="777">
        <v>59.03</v>
      </c>
      <c r="H572" s="14" t="s">
        <v>871</v>
      </c>
      <c r="I572" s="14" t="s">
        <v>879</v>
      </c>
      <c r="J572" s="14" t="s">
        <v>884</v>
      </c>
      <c r="K572" s="14" t="s">
        <v>893</v>
      </c>
    </row>
    <row r="573" spans="1:11" hidden="1" x14ac:dyDescent="0.25">
      <c r="A573" s="774">
        <v>56811</v>
      </c>
      <c r="B573" s="774">
        <v>1000</v>
      </c>
      <c r="C573" s="774">
        <v>200</v>
      </c>
      <c r="D573" s="774">
        <v>2200</v>
      </c>
      <c r="E573" s="774" t="s">
        <v>1395</v>
      </c>
      <c r="F573" s="774" t="s">
        <v>1482</v>
      </c>
      <c r="G573" s="777">
        <v>698.66</v>
      </c>
      <c r="H573" s="14" t="s">
        <v>871</v>
      </c>
      <c r="I573" s="14" t="s">
        <v>879</v>
      </c>
      <c r="J573" s="14" t="s">
        <v>888</v>
      </c>
      <c r="K573" s="14" t="s">
        <v>893</v>
      </c>
    </row>
    <row r="574" spans="1:11" hidden="1" x14ac:dyDescent="0.25">
      <c r="A574" s="774">
        <v>56811</v>
      </c>
      <c r="B574" s="774">
        <v>1732</v>
      </c>
      <c r="C574" s="774">
        <v>620</v>
      </c>
      <c r="D574" s="774">
        <v>1000</v>
      </c>
      <c r="E574" s="774" t="s">
        <v>1395</v>
      </c>
      <c r="F574" s="774" t="s">
        <v>1482</v>
      </c>
      <c r="G574" s="777">
        <v>54</v>
      </c>
      <c r="H574" s="14" t="s">
        <v>978</v>
      </c>
      <c r="I574" s="14" t="s">
        <v>923</v>
      </c>
      <c r="J574" s="14" t="s">
        <v>876</v>
      </c>
      <c r="K574" s="14" t="s">
        <v>893</v>
      </c>
    </row>
    <row r="575" spans="1:11" hidden="1" x14ac:dyDescent="0.25">
      <c r="A575" s="774">
        <v>56811</v>
      </c>
      <c r="B575" s="774">
        <v>1734</v>
      </c>
      <c r="C575" s="774">
        <v>620</v>
      </c>
      <c r="D575" s="774">
        <v>1000</v>
      </c>
      <c r="E575" s="774" t="s">
        <v>1395</v>
      </c>
      <c r="F575" s="774" t="s">
        <v>1482</v>
      </c>
      <c r="G575" s="777">
        <v>54</v>
      </c>
      <c r="H575" s="14" t="s">
        <v>978</v>
      </c>
      <c r="I575" s="14" t="s">
        <v>923</v>
      </c>
      <c r="J575" s="14" t="s">
        <v>876</v>
      </c>
      <c r="K575" s="14" t="s">
        <v>893</v>
      </c>
    </row>
    <row r="576" spans="1:11" hidden="1" x14ac:dyDescent="0.25">
      <c r="A576" s="774">
        <v>56811</v>
      </c>
      <c r="B576" s="774">
        <v>1743</v>
      </c>
      <c r="C576" s="774">
        <v>620</v>
      </c>
      <c r="D576" s="774">
        <v>1000</v>
      </c>
      <c r="E576" s="774" t="s">
        <v>1395</v>
      </c>
      <c r="F576" s="774" t="s">
        <v>1482</v>
      </c>
      <c r="G576" s="777">
        <v>54</v>
      </c>
      <c r="H576" s="14" t="s">
        <v>978</v>
      </c>
      <c r="I576" s="14" t="s">
        <v>923</v>
      </c>
      <c r="J576" s="14" t="s">
        <v>876</v>
      </c>
      <c r="K576" s="14" t="s">
        <v>893</v>
      </c>
    </row>
    <row r="577" spans="1:11" hidden="1" x14ac:dyDescent="0.25">
      <c r="A577" s="774">
        <v>56811</v>
      </c>
      <c r="B577" s="774">
        <v>1856</v>
      </c>
      <c r="C577" s="774">
        <v>620</v>
      </c>
      <c r="D577" s="774">
        <v>1000</v>
      </c>
      <c r="E577" s="774" t="s">
        <v>1395</v>
      </c>
      <c r="F577" s="774" t="s">
        <v>1482</v>
      </c>
      <c r="G577" s="777">
        <v>54</v>
      </c>
      <c r="H577" s="14" t="s">
        <v>978</v>
      </c>
      <c r="I577" s="14" t="s">
        <v>923</v>
      </c>
      <c r="J577" s="14" t="s">
        <v>876</v>
      </c>
      <c r="K577" s="14" t="s">
        <v>893</v>
      </c>
    </row>
    <row r="578" spans="1:11" hidden="1" x14ac:dyDescent="0.25">
      <c r="A578" s="774">
        <v>56875</v>
      </c>
      <c r="B578" s="774">
        <v>1000</v>
      </c>
      <c r="C578" s="774">
        <v>100</v>
      </c>
      <c r="D578" s="774">
        <v>2500</v>
      </c>
      <c r="E578" s="774" t="s">
        <v>1395</v>
      </c>
      <c r="F578" s="774" t="s">
        <v>1483</v>
      </c>
      <c r="G578" s="777">
        <v>129.59</v>
      </c>
      <c r="H578" s="14" t="s">
        <v>871</v>
      </c>
      <c r="I578" s="14" t="s">
        <v>875</v>
      </c>
      <c r="J578" s="14" t="s">
        <v>908</v>
      </c>
      <c r="K578" s="14" t="s">
        <v>909</v>
      </c>
    </row>
    <row r="579" spans="1:11" hidden="1" x14ac:dyDescent="0.25">
      <c r="A579" s="774">
        <v>56890</v>
      </c>
      <c r="B579" s="774">
        <v>1000</v>
      </c>
      <c r="C579" s="774">
        <v>100</v>
      </c>
      <c r="D579" s="774">
        <v>2100</v>
      </c>
      <c r="E579" s="774" t="s">
        <v>1395</v>
      </c>
      <c r="F579" s="774" t="s">
        <v>1484</v>
      </c>
      <c r="G579" s="777">
        <v>4.82</v>
      </c>
      <c r="H579" s="14" t="s">
        <v>871</v>
      </c>
      <c r="I579" s="14" t="s">
        <v>875</v>
      </c>
      <c r="J579" s="14" t="s">
        <v>884</v>
      </c>
      <c r="K579" s="14" t="s">
        <v>905</v>
      </c>
    </row>
    <row r="580" spans="1:11" hidden="1" x14ac:dyDescent="0.25">
      <c r="A580" s="774">
        <v>56890</v>
      </c>
      <c r="B580" s="774">
        <v>1000</v>
      </c>
      <c r="C580" s="774">
        <v>100</v>
      </c>
      <c r="D580" s="774">
        <v>2300</v>
      </c>
      <c r="E580" s="774" t="s">
        <v>1395</v>
      </c>
      <c r="F580" s="774" t="s">
        <v>1484</v>
      </c>
      <c r="G580" s="777">
        <v>-11.66</v>
      </c>
      <c r="H580" s="14" t="s">
        <v>871</v>
      </c>
      <c r="I580" s="14" t="s">
        <v>875</v>
      </c>
      <c r="J580" s="14" t="s">
        <v>900</v>
      </c>
      <c r="K580" s="14" t="s">
        <v>905</v>
      </c>
    </row>
    <row r="581" spans="1:11" hidden="1" x14ac:dyDescent="0.25">
      <c r="A581" s="774">
        <v>56890</v>
      </c>
      <c r="B581" s="774">
        <v>1000</v>
      </c>
      <c r="C581" s="774">
        <v>100</v>
      </c>
      <c r="D581" s="774">
        <v>2500</v>
      </c>
      <c r="E581" s="774" t="s">
        <v>1395</v>
      </c>
      <c r="F581" s="774" t="s">
        <v>1484</v>
      </c>
      <c r="G581" s="777">
        <v>-7.13</v>
      </c>
      <c r="H581" s="14" t="s">
        <v>871</v>
      </c>
      <c r="I581" s="14" t="s">
        <v>875</v>
      </c>
      <c r="J581" s="14" t="s">
        <v>908</v>
      </c>
      <c r="K581" s="14" t="s">
        <v>905</v>
      </c>
    </row>
    <row r="582" spans="1:11" hidden="1" x14ac:dyDescent="0.25">
      <c r="A582" s="774">
        <v>56910</v>
      </c>
      <c r="B582" s="774">
        <v>1000</v>
      </c>
      <c r="C582" s="774">
        <v>100</v>
      </c>
      <c r="D582" s="774">
        <v>2500</v>
      </c>
      <c r="E582" s="774" t="s">
        <v>1395</v>
      </c>
      <c r="F582" s="774" t="s">
        <v>1485</v>
      </c>
      <c r="G582" s="777">
        <v>-3728.52</v>
      </c>
      <c r="H582" s="14" t="s">
        <v>871</v>
      </c>
      <c r="I582" s="14" t="s">
        <v>875</v>
      </c>
      <c r="J582" s="14" t="s">
        <v>908</v>
      </c>
      <c r="K582" s="14" t="s">
        <v>913</v>
      </c>
    </row>
    <row r="583" spans="1:11" hidden="1" x14ac:dyDescent="0.25">
      <c r="A583" s="774">
        <v>56910</v>
      </c>
      <c r="B583" s="774">
        <v>1140</v>
      </c>
      <c r="C583" s="774">
        <v>100</v>
      </c>
      <c r="D583" s="774">
        <v>2500</v>
      </c>
      <c r="E583" s="774" t="s">
        <v>1395</v>
      </c>
      <c r="F583" s="774" t="s">
        <v>1485</v>
      </c>
      <c r="G583" s="777">
        <v>358.07</v>
      </c>
      <c r="H583" s="14" t="s">
        <v>890</v>
      </c>
      <c r="I583" s="14" t="s">
        <v>875</v>
      </c>
      <c r="J583" s="14" t="s">
        <v>908</v>
      </c>
      <c r="K583" s="14" t="s">
        <v>913</v>
      </c>
    </row>
    <row r="584" spans="1:11" hidden="1" x14ac:dyDescent="0.25">
      <c r="A584" s="774">
        <v>56910</v>
      </c>
      <c r="B584" s="774">
        <v>1190</v>
      </c>
      <c r="C584" s="774">
        <v>260</v>
      </c>
      <c r="D584" s="774">
        <v>2500</v>
      </c>
      <c r="E584" s="774" t="s">
        <v>1395</v>
      </c>
      <c r="F584" s="774" t="s">
        <v>1485</v>
      </c>
      <c r="G584" s="777">
        <v>58.73</v>
      </c>
      <c r="H584" s="14" t="s">
        <v>902</v>
      </c>
      <c r="I584" s="14" t="s">
        <v>883</v>
      </c>
      <c r="J584" s="14" t="s">
        <v>908</v>
      </c>
      <c r="K584" s="14" t="s">
        <v>913</v>
      </c>
    </row>
    <row r="585" spans="1:11" x14ac:dyDescent="0.25">
      <c r="A585" s="774">
        <v>56910</v>
      </c>
      <c r="B585" s="774">
        <v>1220</v>
      </c>
      <c r="C585" s="774">
        <v>200</v>
      </c>
      <c r="D585" s="774">
        <v>2500</v>
      </c>
      <c r="E585" s="774" t="s">
        <v>1395</v>
      </c>
      <c r="F585" s="774" t="s">
        <v>1485</v>
      </c>
      <c r="G585" s="777">
        <v>3311.72</v>
      </c>
      <c r="H585" s="14" t="s">
        <v>914</v>
      </c>
      <c r="I585" s="14" t="s">
        <v>879</v>
      </c>
      <c r="J585" s="14" t="s">
        <v>908</v>
      </c>
      <c r="K585" s="14" t="s">
        <v>913</v>
      </c>
    </row>
    <row r="586" spans="1:11" hidden="1" x14ac:dyDescent="0.25"/>
    <row r="587" spans="1:11" hidden="1" x14ac:dyDescent="0.25"/>
    <row r="588" spans="1:11" hidden="1" x14ac:dyDescent="0.25"/>
    <row r="589" spans="1:11" hidden="1" x14ac:dyDescent="0.25"/>
    <row r="590" spans="1:11" hidden="1" x14ac:dyDescent="0.25"/>
    <row r="591" spans="1:11" hidden="1" x14ac:dyDescent="0.25"/>
    <row r="592" spans="1:11"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spans="7:7" hidden="1" x14ac:dyDescent="0.25"/>
    <row r="4338" spans="7:7" hidden="1" x14ac:dyDescent="0.25"/>
    <row r="4339" spans="7:7" hidden="1" x14ac:dyDescent="0.25"/>
    <row r="4340" spans="7:7" hidden="1" x14ac:dyDescent="0.25"/>
    <row r="4341" spans="7:7" x14ac:dyDescent="0.25">
      <c r="G4341" s="18">
        <f>SUBTOTAL(9,G2:G4340)</f>
        <v>0</v>
      </c>
    </row>
  </sheetData>
  <autoFilter ref="A1:L4340" xr:uid="{00000000-0009-0000-0000-000011000000}">
    <filterColumn colId="7">
      <filters>
        <filter val="1220-IDEA, Part B"/>
      </filters>
    </filterColumn>
  </autoFilter>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100-000000000000}">
      <formula1>$Y$2:$Y$21</formula1>
    </dataValidation>
    <dataValidation type="list" allowBlank="1" showInputMessage="1" showErrorMessage="1" sqref="I2:I37000" xr:uid="{00000000-0002-0000-1100-000001000000}">
      <formula1>$N$2:$N$21</formula1>
    </dataValidation>
    <dataValidation type="list" allowBlank="1" showInputMessage="1" showErrorMessage="1" sqref="J2:J37000" xr:uid="{00000000-0002-0000-1100-000002000000}">
      <formula1>$O$2:$O$21</formula1>
    </dataValidation>
    <dataValidation type="list" allowBlank="1" showInputMessage="1" showErrorMessage="1" sqref="H2:H37000" xr:uid="{00000000-0002-0000-1100-000004000000}">
      <formula1>$M$3:$M$41</formula1>
    </dataValidation>
    <dataValidation type="list" allowBlank="1" showInputMessage="1" showErrorMessage="1" sqref="K2:K37000" xr:uid="{00000000-0002-0000-1100-000003000000}">
      <formula1>$P$2:$P$44</formula1>
    </dataValidation>
  </dataValidations>
  <hyperlinks>
    <hyperlink ref="M25:M27" location="ImpactAidandOtherFederalProjects" display="13__ Impact Aid" xr:uid="{00000000-0004-0000-1100-000000000000}"/>
  </hyperlinks>
  <pageMargins left="0.7" right="0.7" top="0.75" bottom="0.75" header="0.3" footer="0.3"/>
  <pageSetup scale="28" fitToHeight="3" orientation="portrait" r:id="rId1"/>
  <headerFooter>
    <oddFooter>&amp;LRev. 8/25 Arizona Department of Education and Auditor General&amp;CFY 2025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17" t="s">
        <v>981</v>
      </c>
      <c r="B1" s="517" t="s">
        <v>982</v>
      </c>
      <c r="C1" s="517" t="s">
        <v>983</v>
      </c>
      <c r="D1" s="517" t="s">
        <v>984</v>
      </c>
      <c r="E1" s="518" t="s">
        <v>985</v>
      </c>
    </row>
    <row r="2" spans="1:5" x14ac:dyDescent="0.2">
      <c r="A2" s="519" t="s">
        <v>986</v>
      </c>
      <c r="B2" s="519" t="s">
        <v>986</v>
      </c>
      <c r="C2" s="519">
        <v>1000</v>
      </c>
      <c r="D2" s="519">
        <v>6100</v>
      </c>
      <c r="E2" s="520">
        <f>SUMIFS('Accounting data'!$G$2:$G$37000,'Accounting data'!$J$2:$J$37000,"1*",'Accounting data'!$K$2:$K$37000,"61*")</f>
        <v>1470591</v>
      </c>
    </row>
    <row r="3" spans="1:5" x14ac:dyDescent="0.2">
      <c r="A3" s="519" t="s">
        <v>987</v>
      </c>
      <c r="B3" s="519" t="s">
        <v>986</v>
      </c>
      <c r="C3" s="519">
        <v>1000</v>
      </c>
      <c r="D3" s="519">
        <v>6100</v>
      </c>
      <c r="E3" s="520">
        <f>SUMIFS('Accounting data'!$G$2:$G$37000,'Accounting data'!$H$2:$H$37000,"9999*",'Accounting data'!$J$2:$J$37000,"1*",'Accounting data'!$K$2:$K$37000,"61*")</f>
        <v>0</v>
      </c>
    </row>
    <row r="4" spans="1:5" x14ac:dyDescent="0.2">
      <c r="A4" s="519" t="s">
        <v>986</v>
      </c>
      <c r="B4" s="519" t="s">
        <v>988</v>
      </c>
      <c r="C4" s="519">
        <v>1000</v>
      </c>
      <c r="D4" s="519">
        <v>6100</v>
      </c>
      <c r="E4" s="520">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21" t="s">
        <v>987</v>
      </c>
      <c r="B5" s="519" t="s">
        <v>988</v>
      </c>
      <c r="C5" s="519">
        <v>1000</v>
      </c>
      <c r="D5" s="519">
        <v>6100</v>
      </c>
      <c r="E5" s="520">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19"/>
      <c r="B6" s="519"/>
      <c r="C6" s="519"/>
      <c r="D6" s="519"/>
      <c r="E6" s="520"/>
    </row>
    <row r="7" spans="1:5" x14ac:dyDescent="0.2">
      <c r="A7" s="519"/>
      <c r="B7" s="519"/>
      <c r="C7" s="519"/>
      <c r="D7" s="519"/>
      <c r="E7" s="520"/>
    </row>
    <row r="8" spans="1:5" ht="15" x14ac:dyDescent="0.25">
      <c r="A8" s="522" t="s">
        <v>989</v>
      </c>
      <c r="B8" s="522"/>
      <c r="C8" s="522"/>
      <c r="D8" s="522"/>
      <c r="E8" s="523">
        <f>(E2-E3-E4)+(E5+E6+E7)</f>
        <v>1470591</v>
      </c>
    </row>
    <row r="9" spans="1:5" x14ac:dyDescent="0.2">
      <c r="A9" s="519" t="s">
        <v>986</v>
      </c>
      <c r="B9" s="519" t="s">
        <v>986</v>
      </c>
      <c r="C9" s="519">
        <v>2100</v>
      </c>
      <c r="D9" s="519">
        <v>6100</v>
      </c>
      <c r="E9" s="520">
        <f>SUMIFS('Accounting data'!$G$2:$G$37000,'Accounting data'!$J$2:$J$37000,"21*",'Accounting data'!$K$2:$K$37000,"61*")</f>
        <v>331136</v>
      </c>
    </row>
    <row r="10" spans="1:5" x14ac:dyDescent="0.2">
      <c r="A10" s="519" t="s">
        <v>987</v>
      </c>
      <c r="B10" s="519" t="s">
        <v>986</v>
      </c>
      <c r="C10" s="519">
        <v>2100</v>
      </c>
      <c r="D10" s="519">
        <v>6100</v>
      </c>
      <c r="E10" s="520">
        <f>SUMIFS('Accounting data'!$G$2:$G$37000,'Accounting data'!$H$2:$H$37000,"9999*",'Accounting data'!$J$2:$J$37000,"21*",'Accounting data'!$K$2:$K$37000,"61*")</f>
        <v>0</v>
      </c>
    </row>
    <row r="11" spans="1:5" x14ac:dyDescent="0.2">
      <c r="A11" s="519" t="s">
        <v>986</v>
      </c>
      <c r="B11" s="519" t="s">
        <v>988</v>
      </c>
      <c r="C11" s="519">
        <v>2100</v>
      </c>
      <c r="D11" s="519">
        <v>6100</v>
      </c>
      <c r="E11" s="520">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21" t="s">
        <v>987</v>
      </c>
      <c r="B12" s="519" t="s">
        <v>988</v>
      </c>
      <c r="C12" s="519">
        <v>2100</v>
      </c>
      <c r="D12" s="519">
        <v>6100</v>
      </c>
      <c r="E12" s="520">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19"/>
      <c r="B13" s="519"/>
      <c r="C13" s="519"/>
      <c r="D13" s="519"/>
      <c r="E13" s="520"/>
    </row>
    <row r="14" spans="1:5" x14ac:dyDescent="0.2">
      <c r="A14" s="519"/>
      <c r="B14" s="519"/>
      <c r="C14" s="519"/>
      <c r="D14" s="519"/>
      <c r="E14" s="520"/>
    </row>
    <row r="15" spans="1:5" ht="15" x14ac:dyDescent="0.25">
      <c r="A15" s="522" t="s">
        <v>990</v>
      </c>
      <c r="B15" s="522"/>
      <c r="C15" s="522"/>
      <c r="D15" s="522"/>
      <c r="E15" s="523">
        <f>(E9-E10-E11)+(E12+E13+E14)</f>
        <v>331136</v>
      </c>
    </row>
    <row r="16" spans="1:5" x14ac:dyDescent="0.2">
      <c r="A16" s="519" t="s">
        <v>986</v>
      </c>
      <c r="B16" s="519" t="s">
        <v>986</v>
      </c>
      <c r="C16" s="519">
        <v>2200</v>
      </c>
      <c r="D16" s="519">
        <v>6100</v>
      </c>
      <c r="E16" s="520">
        <f>SUMIFS('Accounting data'!$G$2:$G$37000,'Accounting data'!$J$2:$J$37000,"22*",'Accounting data'!$K$2:$K$37000,"61*")</f>
        <v>37570</v>
      </c>
    </row>
    <row r="17" spans="1:5" x14ac:dyDescent="0.2">
      <c r="A17" s="519" t="s">
        <v>987</v>
      </c>
      <c r="B17" s="519" t="s">
        <v>986</v>
      </c>
      <c r="C17" s="519">
        <v>2200</v>
      </c>
      <c r="D17" s="519">
        <v>6100</v>
      </c>
      <c r="E17" s="520">
        <f>SUMIFS('Accounting data'!$G$2:$G$37000,'Accounting data'!$H$2:$H$37000,"9999*",'Accounting data'!$J$2:$J$37000,"22*",'Accounting data'!$K$2:$K$37000,"61*")</f>
        <v>0</v>
      </c>
    </row>
    <row r="18" spans="1:5" x14ac:dyDescent="0.2">
      <c r="A18" s="519" t="s">
        <v>986</v>
      </c>
      <c r="B18" s="519" t="s">
        <v>988</v>
      </c>
      <c r="C18" s="519">
        <v>2200</v>
      </c>
      <c r="D18" s="519">
        <v>6100</v>
      </c>
      <c r="E18" s="520">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21" t="s">
        <v>987</v>
      </c>
      <c r="B19" s="519" t="s">
        <v>988</v>
      </c>
      <c r="C19" s="519">
        <v>2200</v>
      </c>
      <c r="D19" s="519">
        <v>6100</v>
      </c>
      <c r="E19" s="520">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19"/>
      <c r="B20" s="519"/>
      <c r="C20" s="519"/>
      <c r="D20" s="519"/>
      <c r="E20" s="520"/>
    </row>
    <row r="21" spans="1:5" x14ac:dyDescent="0.2">
      <c r="A21" s="519"/>
      <c r="B21" s="519"/>
      <c r="C21" s="519"/>
      <c r="D21" s="519"/>
      <c r="E21" s="520"/>
    </row>
    <row r="22" spans="1:5" ht="15" x14ac:dyDescent="0.25">
      <c r="A22" s="522" t="s">
        <v>991</v>
      </c>
      <c r="B22" s="522"/>
      <c r="C22" s="522"/>
      <c r="D22" s="522"/>
      <c r="E22" s="523">
        <f>(E16-E17-E18)+(E19+E20+E21)</f>
        <v>37570</v>
      </c>
    </row>
    <row r="23" spans="1:5" x14ac:dyDescent="0.2">
      <c r="A23" s="519" t="s">
        <v>986</v>
      </c>
      <c r="B23" s="519" t="s">
        <v>986</v>
      </c>
      <c r="C23" s="519">
        <v>2300</v>
      </c>
      <c r="D23" s="519">
        <v>6100</v>
      </c>
      <c r="E23" s="520">
        <f>SUMIFS('Accounting data'!$G$2:$G$37000,'Accounting data'!$J$2:$J$37000,"23*",'Accounting data'!$K$2:$K$37000,"61*")</f>
        <v>21842</v>
      </c>
    </row>
    <row r="24" spans="1:5" x14ac:dyDescent="0.2">
      <c r="A24" s="519" t="s">
        <v>987</v>
      </c>
      <c r="B24" s="519" t="s">
        <v>986</v>
      </c>
      <c r="C24" s="519">
        <v>2300</v>
      </c>
      <c r="D24" s="519">
        <v>6100</v>
      </c>
      <c r="E24" s="520">
        <f>SUMIFS('Accounting data'!$G$2:$G$37000,'Accounting data'!$H$2:$H$37000,"9999*",'Accounting data'!$J$2:$J$37000,"23*",'Accounting data'!$K$2:$K$37000,"61*")</f>
        <v>0</v>
      </c>
    </row>
    <row r="25" spans="1:5" x14ac:dyDescent="0.2">
      <c r="A25" s="519" t="s">
        <v>986</v>
      </c>
      <c r="B25" s="519" t="s">
        <v>988</v>
      </c>
      <c r="C25" s="519">
        <v>2300</v>
      </c>
      <c r="D25" s="519">
        <v>6100</v>
      </c>
      <c r="E25" s="520">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21" t="s">
        <v>987</v>
      </c>
      <c r="B26" s="519" t="s">
        <v>988</v>
      </c>
      <c r="C26" s="519">
        <v>2300</v>
      </c>
      <c r="D26" s="519">
        <v>6100</v>
      </c>
      <c r="E26" s="520">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19"/>
      <c r="B27" s="519"/>
      <c r="C27" s="519"/>
      <c r="D27" s="519"/>
      <c r="E27" s="520"/>
    </row>
    <row r="28" spans="1:5" x14ac:dyDescent="0.2">
      <c r="A28" s="519"/>
      <c r="B28" s="519"/>
      <c r="C28" s="519"/>
      <c r="D28" s="519"/>
      <c r="E28" s="520"/>
    </row>
    <row r="29" spans="1:5" x14ac:dyDescent="0.2">
      <c r="A29" s="522" t="s">
        <v>992</v>
      </c>
      <c r="B29" s="522"/>
      <c r="C29" s="522"/>
      <c r="D29" s="522"/>
      <c r="E29" s="524">
        <f>(E23-E24-E25)+(E26+E27+E28)</f>
        <v>21842</v>
      </c>
    </row>
    <row r="30" spans="1:5" x14ac:dyDescent="0.2">
      <c r="A30" s="519" t="s">
        <v>986</v>
      </c>
      <c r="B30" s="519" t="s">
        <v>986</v>
      </c>
      <c r="C30" s="519">
        <v>2400</v>
      </c>
      <c r="D30" s="519">
        <v>6100</v>
      </c>
      <c r="E30" s="520">
        <f>SUMIFS('Accounting data'!$G$2:$G$37000,'Accounting data'!$J$2:$J$37000,"24*",'Accounting data'!$K$2:$K$37000,"61*")</f>
        <v>57217</v>
      </c>
    </row>
    <row r="31" spans="1:5" x14ac:dyDescent="0.2">
      <c r="A31" s="519" t="s">
        <v>987</v>
      </c>
      <c r="B31" s="519" t="s">
        <v>986</v>
      </c>
      <c r="C31" s="519">
        <v>2400</v>
      </c>
      <c r="D31" s="519">
        <v>6100</v>
      </c>
      <c r="E31" s="520">
        <f>SUMIFS('Accounting data'!$G$2:$G$37000,'Accounting data'!$H$2:$H$37000,"9999*",'Accounting data'!$J$2:$J$37000,"24*",'Accounting data'!$K$2:$K$37000,"61*")</f>
        <v>0</v>
      </c>
    </row>
    <row r="32" spans="1:5" x14ac:dyDescent="0.2">
      <c r="A32" s="519" t="s">
        <v>986</v>
      </c>
      <c r="B32" s="519" t="s">
        <v>988</v>
      </c>
      <c r="C32" s="519">
        <v>2400</v>
      </c>
      <c r="D32" s="519">
        <v>6100</v>
      </c>
      <c r="E32" s="520">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21" t="s">
        <v>987</v>
      </c>
      <c r="B33" s="519" t="s">
        <v>988</v>
      </c>
      <c r="C33" s="519">
        <v>2400</v>
      </c>
      <c r="D33" s="519">
        <v>6100</v>
      </c>
      <c r="E33" s="520">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19"/>
      <c r="B34" s="519"/>
      <c r="C34" s="519"/>
      <c r="D34" s="519"/>
      <c r="E34" s="520"/>
    </row>
    <row r="35" spans="1:5" x14ac:dyDescent="0.2">
      <c r="A35" s="519"/>
      <c r="B35" s="519"/>
      <c r="C35" s="519"/>
      <c r="D35" s="519"/>
      <c r="E35" s="520"/>
    </row>
    <row r="36" spans="1:5" ht="15" x14ac:dyDescent="0.25">
      <c r="A36" s="522" t="s">
        <v>993</v>
      </c>
      <c r="B36" s="522"/>
      <c r="C36" s="522"/>
      <c r="D36" s="522"/>
      <c r="E36" s="523">
        <f>(E30-E31-E32)+(E33+E34+E35)</f>
        <v>57217</v>
      </c>
    </row>
    <row r="37" spans="1:5" x14ac:dyDescent="0.2">
      <c r="A37" s="519" t="s">
        <v>986</v>
      </c>
      <c r="B37" s="519" t="s">
        <v>986</v>
      </c>
      <c r="C37" s="519">
        <v>2500</v>
      </c>
      <c r="D37" s="519">
        <v>6100</v>
      </c>
      <c r="E37" s="520">
        <f>SUMIFS('Accounting data'!$G$2:$G$37000,'Accounting data'!$J$2:$J$37000,"25*",'Accounting data'!$K$2:$K$37000,"61*")</f>
        <v>261572</v>
      </c>
    </row>
    <row r="38" spans="1:5" x14ac:dyDescent="0.2">
      <c r="A38" s="519" t="s">
        <v>987</v>
      </c>
      <c r="B38" s="519" t="s">
        <v>986</v>
      </c>
      <c r="C38" s="519">
        <v>2500</v>
      </c>
      <c r="D38" s="519">
        <v>6100</v>
      </c>
      <c r="E38" s="520">
        <f>SUMIFS('Accounting data'!$G$2:$G$37000,'Accounting data'!$H$2:$H$37000,"9999*",'Accounting data'!$J$2:$J$37000,"25*",'Accounting data'!$K$2:$K$37000,"61*")</f>
        <v>0</v>
      </c>
    </row>
    <row r="39" spans="1:5" x14ac:dyDescent="0.2">
      <c r="A39" s="519" t="s">
        <v>986</v>
      </c>
      <c r="B39" s="519" t="s">
        <v>988</v>
      </c>
      <c r="C39" s="519">
        <v>2500</v>
      </c>
      <c r="D39" s="519">
        <v>6100</v>
      </c>
      <c r="E39" s="520">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21" t="s">
        <v>987</v>
      </c>
      <c r="B40" s="519" t="s">
        <v>988</v>
      </c>
      <c r="C40" s="519">
        <v>2500</v>
      </c>
      <c r="D40" s="519">
        <v>6100</v>
      </c>
      <c r="E40" s="520">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19"/>
      <c r="B41" s="519"/>
      <c r="C41" s="519"/>
      <c r="D41" s="519"/>
      <c r="E41" s="520"/>
    </row>
    <row r="42" spans="1:5" x14ac:dyDescent="0.2">
      <c r="A42" s="519"/>
      <c r="B42" s="519"/>
      <c r="C42" s="519"/>
      <c r="D42" s="519"/>
      <c r="E42" s="520"/>
    </row>
    <row r="43" spans="1:5" ht="15" x14ac:dyDescent="0.25">
      <c r="A43" s="522" t="s">
        <v>994</v>
      </c>
      <c r="B43" s="522"/>
      <c r="C43" s="522"/>
      <c r="D43" s="522"/>
      <c r="E43" s="523">
        <f>(E37-E38-E39)+(E40+E41+E42)</f>
        <v>261572</v>
      </c>
    </row>
    <row r="44" spans="1:5" x14ac:dyDescent="0.2">
      <c r="A44" s="519" t="s">
        <v>986</v>
      </c>
      <c r="B44" s="519" t="s">
        <v>986</v>
      </c>
      <c r="C44" s="519">
        <v>2900</v>
      </c>
      <c r="D44" s="519">
        <v>6100</v>
      </c>
      <c r="E44" s="520">
        <f>SUMIFS('Accounting data'!$G$2:$G$37000,'Accounting data'!$J$2:$J$37000,"29*",'Accounting data'!$K$2:$K$37000,"61*")</f>
        <v>0</v>
      </c>
    </row>
    <row r="45" spans="1:5" x14ac:dyDescent="0.2">
      <c r="A45" s="519" t="s">
        <v>987</v>
      </c>
      <c r="B45" s="519" t="s">
        <v>986</v>
      </c>
      <c r="C45" s="519">
        <v>2900</v>
      </c>
      <c r="D45" s="519">
        <v>6100</v>
      </c>
      <c r="E45" s="520">
        <f>SUMIFS('Accounting data'!$G$2:$G$37000,'Accounting data'!$H$2:$H$37000,"9999*",'Accounting data'!$J$2:$J$37000,"29*",'Accounting data'!$K$2:$K$37000,"61*")</f>
        <v>0</v>
      </c>
    </row>
    <row r="46" spans="1:5" x14ac:dyDescent="0.2">
      <c r="A46" s="519" t="s">
        <v>986</v>
      </c>
      <c r="B46" s="519" t="s">
        <v>988</v>
      </c>
      <c r="C46" s="519">
        <v>2900</v>
      </c>
      <c r="D46" s="519">
        <v>6100</v>
      </c>
      <c r="E46" s="520">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21" t="s">
        <v>987</v>
      </c>
      <c r="B47" s="519" t="s">
        <v>988</v>
      </c>
      <c r="C47" s="519">
        <v>2900</v>
      </c>
      <c r="D47" s="519">
        <v>6100</v>
      </c>
      <c r="E47" s="520">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50" spans="1:5" ht="15" x14ac:dyDescent="0.25">
      <c r="A50" s="522" t="s">
        <v>995</v>
      </c>
      <c r="B50" s="522"/>
      <c r="C50" s="522"/>
      <c r="D50" s="522"/>
      <c r="E50" s="523">
        <f>(E44-E45-E46)+(E47+E48+E49)</f>
        <v>0</v>
      </c>
    </row>
    <row r="51" spans="1:5" x14ac:dyDescent="0.2">
      <c r="A51" s="519" t="s">
        <v>986</v>
      </c>
      <c r="B51" s="519" t="s">
        <v>986</v>
      </c>
      <c r="C51" s="519">
        <v>2600</v>
      </c>
      <c r="D51" s="519">
        <v>6100</v>
      </c>
      <c r="E51" s="520">
        <f>SUMIFS('Accounting data'!$G$2:$G$37000,'Accounting data'!$J$2:$J$37000,"26*",'Accounting data'!$K$2:$K$37000,"61*")</f>
        <v>22749</v>
      </c>
    </row>
    <row r="52" spans="1:5" x14ac:dyDescent="0.2">
      <c r="A52" s="519" t="s">
        <v>987</v>
      </c>
      <c r="B52" s="519" t="s">
        <v>986</v>
      </c>
      <c r="C52" s="519">
        <v>2600</v>
      </c>
      <c r="D52" s="519">
        <v>6100</v>
      </c>
      <c r="E52" s="520">
        <f>SUMIFS('Accounting data'!$G$2:$G$37000,'Accounting data'!$H$2:$H$37000,"9999*",'Accounting data'!$J$2:$J$37000,"26*",'Accounting data'!$K$2:$K$37000,"61*")</f>
        <v>0</v>
      </c>
    </row>
    <row r="53" spans="1:5" x14ac:dyDescent="0.2">
      <c r="A53" s="519" t="s">
        <v>986</v>
      </c>
      <c r="B53" s="519" t="s">
        <v>988</v>
      </c>
      <c r="C53" s="519">
        <v>2600</v>
      </c>
      <c r="D53" s="519">
        <v>6100</v>
      </c>
      <c r="E53" s="520">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21" t="s">
        <v>987</v>
      </c>
      <c r="B54" s="519" t="s">
        <v>988</v>
      </c>
      <c r="C54" s="519">
        <v>2600</v>
      </c>
      <c r="D54" s="519">
        <v>6100</v>
      </c>
      <c r="E54" s="520">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19"/>
      <c r="B55" s="519"/>
      <c r="C55" s="519"/>
      <c r="D55" s="519"/>
      <c r="E55" s="520"/>
    </row>
    <row r="56" spans="1:5" x14ac:dyDescent="0.2">
      <c r="A56" s="519"/>
      <c r="B56" s="519"/>
      <c r="C56" s="519"/>
      <c r="D56" s="519"/>
      <c r="E56" s="520"/>
    </row>
    <row r="57" spans="1:5" ht="15" x14ac:dyDescent="0.25">
      <c r="A57" s="522" t="s">
        <v>996</v>
      </c>
      <c r="B57" s="522"/>
      <c r="C57" s="522"/>
      <c r="D57" s="522"/>
      <c r="E57" s="523">
        <f>(E51-E52-E53)+(E54+E55+E56)</f>
        <v>22749</v>
      </c>
    </row>
    <row r="58" spans="1:5" x14ac:dyDescent="0.2">
      <c r="A58" s="519" t="s">
        <v>986</v>
      </c>
      <c r="B58" s="519" t="s">
        <v>986</v>
      </c>
      <c r="C58" s="519">
        <v>2700</v>
      </c>
      <c r="D58" s="519">
        <v>6100</v>
      </c>
      <c r="E58" s="520">
        <f>SUMIFS('Accounting data'!$G$2:$G$37000,'Accounting data'!$J$2:$J$37000,"27*",'Accounting data'!$K$2:$K$37000,"61*")</f>
        <v>2761</v>
      </c>
    </row>
    <row r="59" spans="1:5" x14ac:dyDescent="0.2">
      <c r="A59" s="519" t="s">
        <v>987</v>
      </c>
      <c r="B59" s="519" t="s">
        <v>986</v>
      </c>
      <c r="C59" s="519">
        <v>2700</v>
      </c>
      <c r="D59" s="519">
        <v>6100</v>
      </c>
      <c r="E59" s="520">
        <f>SUMIFS('Accounting data'!$G$2:$G$37000,'Accounting data'!$H$2:$H$37000,"9999*",'Accounting data'!$J$2:$J$37000,"27*",'Accounting data'!$K$2:$K$37000,"61*")</f>
        <v>0</v>
      </c>
    </row>
    <row r="60" spans="1:5" x14ac:dyDescent="0.2">
      <c r="A60" s="519" t="s">
        <v>986</v>
      </c>
      <c r="B60" s="519" t="s">
        <v>988</v>
      </c>
      <c r="C60" s="519">
        <v>2700</v>
      </c>
      <c r="D60" s="519">
        <v>6100</v>
      </c>
      <c r="E60" s="520">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21" t="s">
        <v>987</v>
      </c>
      <c r="B61" s="519" t="s">
        <v>988</v>
      </c>
      <c r="C61" s="519">
        <v>2700</v>
      </c>
      <c r="D61" s="519">
        <v>6100</v>
      </c>
      <c r="E61" s="520">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19"/>
      <c r="B62" s="519"/>
      <c r="C62" s="519"/>
      <c r="D62" s="519"/>
      <c r="E62" s="520"/>
    </row>
    <row r="63" spans="1:5" x14ac:dyDescent="0.2">
      <c r="A63" s="519"/>
      <c r="B63" s="519"/>
      <c r="C63" s="519"/>
      <c r="D63" s="519"/>
      <c r="E63" s="520"/>
    </row>
    <row r="64" spans="1:5" ht="15" x14ac:dyDescent="0.25">
      <c r="A64" s="522" t="s">
        <v>997</v>
      </c>
      <c r="B64" s="522"/>
      <c r="C64" s="522"/>
      <c r="D64" s="522"/>
      <c r="E64" s="523">
        <f>(E58-E59-E60)+(E61+E62+E63)</f>
        <v>2761</v>
      </c>
    </row>
    <row r="65" spans="1:5" x14ac:dyDescent="0.2">
      <c r="A65" s="519" t="s">
        <v>986</v>
      </c>
      <c r="B65" s="519" t="s">
        <v>986</v>
      </c>
      <c r="C65" s="519">
        <v>3100</v>
      </c>
      <c r="D65" s="519">
        <v>6100</v>
      </c>
      <c r="E65" s="520">
        <f>SUMIFS('Accounting data'!$G$2:$G$37000,'Accounting data'!$J$2:$J$37000,"31*",'Accounting data'!$K$2:$K$37000,"61*")</f>
        <v>37</v>
      </c>
    </row>
    <row r="66" spans="1:5" x14ac:dyDescent="0.2">
      <c r="A66" s="519" t="s">
        <v>987</v>
      </c>
      <c r="B66" s="519" t="s">
        <v>986</v>
      </c>
      <c r="C66" s="519">
        <v>3100</v>
      </c>
      <c r="D66" s="519">
        <v>6100</v>
      </c>
      <c r="E66" s="520">
        <f>SUMIFS('Accounting data'!$G$2:$G$37000,'Accounting data'!$H$2:$H$37000,"9999*",'Accounting data'!$J$2:$J$37000,"31*",'Accounting data'!$K$2:$K$37000,"61*")</f>
        <v>0</v>
      </c>
    </row>
    <row r="67" spans="1:5" x14ac:dyDescent="0.2">
      <c r="A67" s="519" t="s">
        <v>986</v>
      </c>
      <c r="B67" s="519" t="s">
        <v>988</v>
      </c>
      <c r="C67" s="519">
        <v>3100</v>
      </c>
      <c r="D67" s="519">
        <v>6100</v>
      </c>
      <c r="E67" s="520">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21" t="s">
        <v>987</v>
      </c>
      <c r="B68" s="519" t="s">
        <v>988</v>
      </c>
      <c r="C68" s="519">
        <v>3100</v>
      </c>
      <c r="D68" s="519">
        <v>6100</v>
      </c>
      <c r="E68" s="520">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19"/>
      <c r="B69" s="519"/>
      <c r="C69" s="519"/>
      <c r="D69" s="519"/>
      <c r="E69" s="520"/>
    </row>
    <row r="70" spans="1:5" x14ac:dyDescent="0.2">
      <c r="A70" s="519"/>
      <c r="B70" s="519"/>
      <c r="C70" s="519"/>
      <c r="D70" s="519"/>
      <c r="E70" s="520"/>
    </row>
    <row r="71" spans="1:5" ht="15" x14ac:dyDescent="0.25">
      <c r="A71" s="522" t="s">
        <v>998</v>
      </c>
      <c r="B71" s="522"/>
      <c r="C71" s="522"/>
      <c r="D71" s="522"/>
      <c r="E71" s="523">
        <f>(E65-E66-E67)+(E68+E69+E70)</f>
        <v>37</v>
      </c>
    </row>
    <row r="72" spans="1:5" x14ac:dyDescent="0.2">
      <c r="A72" s="519"/>
      <c r="B72" s="519"/>
      <c r="C72" s="519"/>
      <c r="D72" s="519"/>
      <c r="E72" s="520"/>
    </row>
    <row r="73" spans="1:5" x14ac:dyDescent="0.2">
      <c r="A73" s="519"/>
      <c r="B73" s="519"/>
      <c r="C73" s="519"/>
      <c r="D73" s="519"/>
      <c r="E73" s="520"/>
    </row>
    <row r="74" spans="1:5" x14ac:dyDescent="0.2">
      <c r="A74" s="519"/>
      <c r="B74" s="519"/>
      <c r="C74" s="519"/>
      <c r="D74" s="519"/>
      <c r="E74" s="520"/>
    </row>
    <row r="75" spans="1:5" x14ac:dyDescent="0.2">
      <c r="A75" s="521"/>
      <c r="B75" s="519"/>
      <c r="C75" s="519"/>
      <c r="D75" s="519"/>
      <c r="E75" s="520"/>
    </row>
    <row r="76" spans="1:5" x14ac:dyDescent="0.2">
      <c r="A76" s="519"/>
      <c r="B76" s="519"/>
      <c r="C76" s="519"/>
      <c r="D76" s="519"/>
      <c r="E76" s="520"/>
    </row>
    <row r="77" spans="1:5" x14ac:dyDescent="0.2">
      <c r="A77" s="519"/>
      <c r="B77" s="519"/>
      <c r="C77" s="519"/>
      <c r="D77" s="519"/>
      <c r="E77" s="520"/>
    </row>
    <row r="78" spans="1:5" ht="15" x14ac:dyDescent="0.25">
      <c r="A78" s="522"/>
      <c r="B78" s="522"/>
      <c r="C78" s="522"/>
      <c r="D78" s="522"/>
      <c r="E78" s="523"/>
    </row>
    <row r="79" spans="1:5" x14ac:dyDescent="0.2">
      <c r="A79" s="519" t="s">
        <v>986</v>
      </c>
      <c r="B79" s="519" t="s">
        <v>986</v>
      </c>
      <c r="C79" s="519">
        <v>3400</v>
      </c>
      <c r="D79" s="519">
        <v>6100</v>
      </c>
      <c r="E79" s="520">
        <f>SUMIFS('Accounting data'!$G$2:$G$37000,'Accounting data'!$J$2:$J$37000,"34*",'Accounting data'!$K$2:$K$37000,"61*")</f>
        <v>0</v>
      </c>
    </row>
    <row r="80" spans="1:5" x14ac:dyDescent="0.2">
      <c r="A80" s="519" t="s">
        <v>987</v>
      </c>
      <c r="B80" s="519" t="s">
        <v>986</v>
      </c>
      <c r="C80" s="519">
        <v>3400</v>
      </c>
      <c r="D80" s="519">
        <v>6100</v>
      </c>
      <c r="E80" s="520">
        <f>SUMIFS('Accounting data'!$G$2:$G$37000,'Accounting data'!$H$2:$H$37000,"9999*",'Accounting data'!$J$2:$J$37000,"34*",'Accounting data'!$K$2:$K$37000,"61*")</f>
        <v>0</v>
      </c>
    </row>
    <row r="81" spans="1:5" x14ac:dyDescent="0.2">
      <c r="A81" s="519" t="s">
        <v>986</v>
      </c>
      <c r="B81" s="519" t="s">
        <v>988</v>
      </c>
      <c r="C81" s="519">
        <v>3400</v>
      </c>
      <c r="D81" s="519">
        <v>6100</v>
      </c>
      <c r="E81" s="520">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21" t="s">
        <v>987</v>
      </c>
      <c r="B82" s="519" t="s">
        <v>988</v>
      </c>
      <c r="C82" s="519">
        <v>3400</v>
      </c>
      <c r="D82" s="519">
        <v>6100</v>
      </c>
      <c r="E82" s="520">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19"/>
      <c r="B83" s="519"/>
      <c r="C83" s="519"/>
      <c r="D83" s="519"/>
      <c r="E83" s="520"/>
    </row>
    <row r="84" spans="1:5" x14ac:dyDescent="0.2">
      <c r="A84" s="519"/>
      <c r="B84" s="519"/>
      <c r="C84" s="519"/>
      <c r="D84" s="519"/>
      <c r="E84" s="520"/>
    </row>
    <row r="85" spans="1:5" ht="15" x14ac:dyDescent="0.25">
      <c r="A85" s="522" t="s">
        <v>999</v>
      </c>
      <c r="B85" s="522"/>
      <c r="C85" s="522"/>
      <c r="D85" s="522"/>
      <c r="E85" s="523">
        <f>(E79-E80-E81)+(E82+E83+E84)</f>
        <v>0</v>
      </c>
    </row>
    <row r="86" spans="1:5" x14ac:dyDescent="0.2">
      <c r="A86" s="519" t="s">
        <v>986</v>
      </c>
      <c r="B86" s="519" t="s">
        <v>986</v>
      </c>
      <c r="C86" s="519">
        <v>4000</v>
      </c>
      <c r="D86" s="519">
        <v>6100</v>
      </c>
      <c r="E86" s="520">
        <f>SUMIFS('Accounting data'!$G$2:$G$37000,'Accounting data'!$J$2:$J$37000,"4*",'Accounting data'!$K$2:$K$37000,"61*")</f>
        <v>0</v>
      </c>
    </row>
    <row r="87" spans="1:5" x14ac:dyDescent="0.2">
      <c r="A87" s="519" t="s">
        <v>987</v>
      </c>
      <c r="B87" s="519" t="s">
        <v>986</v>
      </c>
      <c r="C87" s="519">
        <v>4000</v>
      </c>
      <c r="D87" s="519">
        <v>6100</v>
      </c>
      <c r="E87" s="520">
        <f>SUMIFS('Accounting data'!$G$2:$G$37000,'Accounting data'!$H$2:$H$37000,"9999*",'Accounting data'!$J$2:$J$37000,"4*",'Accounting data'!$K$2:$K$37000,"61*")</f>
        <v>0</v>
      </c>
    </row>
    <row r="88" spans="1:5" x14ac:dyDescent="0.2">
      <c r="A88" s="519" t="s">
        <v>986</v>
      </c>
      <c r="B88" s="519" t="s">
        <v>988</v>
      </c>
      <c r="C88" s="519">
        <v>4000</v>
      </c>
      <c r="D88" s="519">
        <v>6100</v>
      </c>
      <c r="E88" s="520">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21" t="s">
        <v>987</v>
      </c>
      <c r="B89" s="519" t="s">
        <v>988</v>
      </c>
      <c r="C89" s="519">
        <v>4000</v>
      </c>
      <c r="D89" s="519">
        <v>6100</v>
      </c>
      <c r="E89" s="520">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19"/>
      <c r="B90" s="519"/>
      <c r="C90" s="519"/>
      <c r="D90" s="519"/>
      <c r="E90" s="520"/>
    </row>
    <row r="91" spans="1:5" x14ac:dyDescent="0.2">
      <c r="A91" s="519"/>
      <c r="B91" s="519"/>
      <c r="C91" s="519"/>
      <c r="D91" s="519"/>
      <c r="E91" s="520"/>
    </row>
    <row r="92" spans="1:5" ht="15" x14ac:dyDescent="0.25">
      <c r="A92" s="522" t="s">
        <v>1000</v>
      </c>
      <c r="B92" s="522"/>
      <c r="C92" s="522"/>
      <c r="D92" s="522"/>
      <c r="E92" s="523">
        <f>(E86-E87-E88)+(E89+E90+E91)</f>
        <v>0</v>
      </c>
    </row>
    <row r="93" spans="1:5" ht="15" x14ac:dyDescent="0.25">
      <c r="A93" s="525" t="s">
        <v>1001</v>
      </c>
      <c r="B93" s="525"/>
      <c r="C93" s="525"/>
      <c r="D93" s="525"/>
      <c r="E93" s="526">
        <f>E8+E15+E22+E29+E36+E43+E50+E57+E64+E71+E78+E85</f>
        <v>2205475</v>
      </c>
    </row>
    <row r="94" spans="1:5" x14ac:dyDescent="0.2">
      <c r="A94" s="519" t="s">
        <v>1002</v>
      </c>
      <c r="B94" s="519" t="s">
        <v>986</v>
      </c>
      <c r="C94" s="519">
        <v>1000</v>
      </c>
      <c r="D94" s="519">
        <v>6100</v>
      </c>
      <c r="E94" s="520">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0</v>
      </c>
    </row>
    <row r="95" spans="1:5" x14ac:dyDescent="0.2">
      <c r="A95" s="519" t="s">
        <v>1002</v>
      </c>
      <c r="B95" s="519" t="s">
        <v>986</v>
      </c>
      <c r="C95" s="519">
        <v>2000</v>
      </c>
      <c r="D95" s="519">
        <v>6100</v>
      </c>
      <c r="E95" s="520">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37191</v>
      </c>
    </row>
    <row r="96" spans="1:5" x14ac:dyDescent="0.2">
      <c r="A96" s="519" t="s">
        <v>1002</v>
      </c>
      <c r="B96" s="519" t="s">
        <v>986</v>
      </c>
      <c r="C96" s="519">
        <v>3000</v>
      </c>
      <c r="D96" s="519">
        <v>6100</v>
      </c>
      <c r="E96" s="520">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19" t="s">
        <v>1002</v>
      </c>
      <c r="B97" s="521">
        <v>700</v>
      </c>
      <c r="C97" s="519">
        <v>1000</v>
      </c>
      <c r="D97" s="519">
        <v>6100</v>
      </c>
      <c r="E97" s="520">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19" t="s">
        <v>1002</v>
      </c>
      <c r="B98" s="521">
        <v>800</v>
      </c>
      <c r="C98" s="519">
        <v>1000</v>
      </c>
      <c r="D98" s="519">
        <v>6100</v>
      </c>
      <c r="E98" s="520">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19" t="s">
        <v>1002</v>
      </c>
      <c r="B99" s="521">
        <v>900</v>
      </c>
      <c r="C99" s="519">
        <v>1000</v>
      </c>
      <c r="D99" s="519">
        <v>6100</v>
      </c>
      <c r="E99" s="520">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19" t="s">
        <v>1002</v>
      </c>
      <c r="B100" s="521">
        <v>700</v>
      </c>
      <c r="C100" s="519">
        <v>2000</v>
      </c>
      <c r="D100" s="519">
        <v>6100</v>
      </c>
      <c r="E100" s="520">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19" t="s">
        <v>1002</v>
      </c>
      <c r="B101" s="521">
        <v>800</v>
      </c>
      <c r="C101" s="519">
        <v>2000</v>
      </c>
      <c r="D101" s="519">
        <v>6100</v>
      </c>
      <c r="E101" s="520">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19" t="s">
        <v>1002</v>
      </c>
      <c r="B102" s="521">
        <v>900</v>
      </c>
      <c r="C102" s="519">
        <v>2000</v>
      </c>
      <c r="D102" s="519">
        <v>6100</v>
      </c>
      <c r="E102" s="520">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19" t="s">
        <v>1002</v>
      </c>
      <c r="B103" s="521">
        <v>700</v>
      </c>
      <c r="C103" s="519">
        <v>3000</v>
      </c>
      <c r="D103" s="519">
        <v>6100</v>
      </c>
      <c r="E103" s="520">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19" t="s">
        <v>1002</v>
      </c>
      <c r="B104" s="521">
        <v>800</v>
      </c>
      <c r="C104" s="519">
        <v>3000</v>
      </c>
      <c r="D104" s="519">
        <v>6100</v>
      </c>
      <c r="E104" s="520">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19" t="s">
        <v>1002</v>
      </c>
      <c r="B105" s="521">
        <v>900</v>
      </c>
      <c r="C105" s="519">
        <v>3000</v>
      </c>
      <c r="D105" s="519">
        <v>6100</v>
      </c>
      <c r="E105" s="520">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22" t="s">
        <v>1003</v>
      </c>
      <c r="B106" s="522"/>
      <c r="C106" s="522"/>
      <c r="D106" s="522"/>
      <c r="E106" s="523">
        <f>(E94+E95+E96)-(E97+E98+E99+E100+E101+E102+E103+E104+E105)</f>
        <v>37191</v>
      </c>
    </row>
    <row r="107" spans="1:5" x14ac:dyDescent="0.2">
      <c r="A107" s="519" t="s">
        <v>986</v>
      </c>
      <c r="B107" s="519" t="s">
        <v>986</v>
      </c>
      <c r="C107" s="519">
        <v>1000</v>
      </c>
      <c r="D107" s="519">
        <v>6200</v>
      </c>
      <c r="E107" s="520">
        <f>SUMIFS('Accounting data'!$G$2:$G$37000,'Accounting data'!$J$2:$J$37000,"1*",'Accounting data'!$K$2:$K$37000,"62*")</f>
        <v>443332</v>
      </c>
    </row>
    <row r="108" spans="1:5" x14ac:dyDescent="0.2">
      <c r="A108" s="519" t="s">
        <v>987</v>
      </c>
      <c r="B108" s="519" t="s">
        <v>986</v>
      </c>
      <c r="C108" s="519">
        <v>1000</v>
      </c>
      <c r="D108" s="519">
        <v>6200</v>
      </c>
      <c r="E108" s="520">
        <f>SUMIFS('Accounting data'!$G$2:$G$37000,'Accounting data'!$H$2:$H$37000,"9999*",'Accounting data'!$J$2:$J$37000,"1*",'Accounting data'!$K$2:$K$37000,"62*")</f>
        <v>0</v>
      </c>
    </row>
    <row r="109" spans="1:5" x14ac:dyDescent="0.2">
      <c r="A109" s="519" t="s">
        <v>986</v>
      </c>
      <c r="B109" s="519" t="s">
        <v>988</v>
      </c>
      <c r="C109" s="519">
        <v>1000</v>
      </c>
      <c r="D109" s="519">
        <v>6200</v>
      </c>
      <c r="E109" s="520">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21" t="s">
        <v>987</v>
      </c>
      <c r="B110" s="519" t="s">
        <v>988</v>
      </c>
      <c r="C110" s="519">
        <v>1000</v>
      </c>
      <c r="D110" s="519">
        <v>6200</v>
      </c>
      <c r="E110" s="520">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3" spans="1:5" ht="15" x14ac:dyDescent="0.25">
      <c r="A113" s="522" t="s">
        <v>1004</v>
      </c>
      <c r="B113" s="522"/>
      <c r="C113" s="522"/>
      <c r="D113" s="522"/>
      <c r="E113" s="523">
        <f>(E107-E108-E109)+(E110+E111+E112)</f>
        <v>443332</v>
      </c>
    </row>
    <row r="114" spans="1:5" x14ac:dyDescent="0.2">
      <c r="A114" s="519" t="s">
        <v>986</v>
      </c>
      <c r="B114" s="519" t="s">
        <v>986</v>
      </c>
      <c r="C114" s="519">
        <v>2100</v>
      </c>
      <c r="D114" s="519">
        <v>6200</v>
      </c>
      <c r="E114" s="520">
        <f>SUMIFS('Accounting data'!$G$2:$G$37000,'Accounting data'!$J$2:$J$37000,"21*",'Accounting data'!$K$2:$K$37000,"62*")</f>
        <v>105032</v>
      </c>
    </row>
    <row r="115" spans="1:5" x14ac:dyDescent="0.2">
      <c r="A115" s="519" t="s">
        <v>987</v>
      </c>
      <c r="B115" s="519" t="s">
        <v>986</v>
      </c>
      <c r="C115" s="519">
        <v>2100</v>
      </c>
      <c r="D115" s="519">
        <v>6200</v>
      </c>
      <c r="E115" s="520">
        <f>SUMIFS('Accounting data'!$G$2:$G$37000,'Accounting data'!$H$2:$H$37000,"9999*",'Accounting data'!$J$2:$J$37000,"21*",'Accounting data'!$K$2:$K$37000,"62*")</f>
        <v>0</v>
      </c>
    </row>
    <row r="116" spans="1:5" x14ac:dyDescent="0.2">
      <c r="A116" s="519" t="s">
        <v>986</v>
      </c>
      <c r="B116" s="519" t="s">
        <v>988</v>
      </c>
      <c r="C116" s="519">
        <v>2100</v>
      </c>
      <c r="D116" s="519">
        <v>6200</v>
      </c>
      <c r="E116" s="520">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21" t="s">
        <v>987</v>
      </c>
      <c r="B117" s="519" t="s">
        <v>988</v>
      </c>
      <c r="C117" s="519">
        <v>2100</v>
      </c>
      <c r="D117" s="519">
        <v>6200</v>
      </c>
      <c r="E117" s="520">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19"/>
      <c r="B118" s="519"/>
      <c r="C118" s="519"/>
      <c r="D118" s="519"/>
      <c r="E118" s="520"/>
    </row>
    <row r="119" spans="1:5" x14ac:dyDescent="0.2">
      <c r="A119" s="519"/>
      <c r="B119" s="519"/>
      <c r="C119" s="519"/>
      <c r="D119" s="519"/>
      <c r="E119" s="520"/>
    </row>
    <row r="120" spans="1:5" ht="15" x14ac:dyDescent="0.25">
      <c r="A120" s="522" t="s">
        <v>1005</v>
      </c>
      <c r="B120" s="522"/>
      <c r="C120" s="522"/>
      <c r="D120" s="522"/>
      <c r="E120" s="523">
        <f>(E114-E115-E116)+(E117+E118+E119)</f>
        <v>105032</v>
      </c>
    </row>
    <row r="121" spans="1:5" x14ac:dyDescent="0.2">
      <c r="A121" s="519" t="s">
        <v>986</v>
      </c>
      <c r="B121" s="519" t="s">
        <v>986</v>
      </c>
      <c r="C121" s="519">
        <v>2200</v>
      </c>
      <c r="D121" s="519">
        <v>6200</v>
      </c>
      <c r="E121" s="520">
        <f>SUMIFS('Accounting data'!$G$2:$G$37000,'Accounting data'!$J$2:$J$37000,"22*",'Accounting data'!$K$2:$K$37000,"62*")</f>
        <v>12288</v>
      </c>
    </row>
    <row r="122" spans="1:5" x14ac:dyDescent="0.2">
      <c r="A122" s="519" t="s">
        <v>987</v>
      </c>
      <c r="B122" s="519" t="s">
        <v>986</v>
      </c>
      <c r="C122" s="519">
        <v>2200</v>
      </c>
      <c r="D122" s="519">
        <v>6200</v>
      </c>
      <c r="E122" s="520">
        <f>SUMIFS('Accounting data'!$G$2:$G$37000,'Accounting data'!$H$2:$H$37000,"9999*",'Accounting data'!$J$2:$J$37000,"22*",'Accounting data'!$K$2:$K$37000,"62*")</f>
        <v>0</v>
      </c>
    </row>
    <row r="123" spans="1:5" x14ac:dyDescent="0.2">
      <c r="A123" s="519" t="s">
        <v>986</v>
      </c>
      <c r="B123" s="519" t="s">
        <v>988</v>
      </c>
      <c r="C123" s="519">
        <v>2200</v>
      </c>
      <c r="D123" s="519">
        <v>6200</v>
      </c>
      <c r="E123" s="520">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21" t="s">
        <v>987</v>
      </c>
      <c r="B124" s="519" t="s">
        <v>988</v>
      </c>
      <c r="C124" s="519">
        <v>2200</v>
      </c>
      <c r="D124" s="519">
        <v>6200</v>
      </c>
      <c r="E124" s="520">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19"/>
      <c r="B125" s="519"/>
      <c r="C125" s="519"/>
      <c r="D125" s="519"/>
      <c r="E125" s="520"/>
    </row>
    <row r="126" spans="1:5" x14ac:dyDescent="0.2">
      <c r="A126" s="519"/>
      <c r="B126" s="519"/>
      <c r="C126" s="519"/>
      <c r="D126" s="519"/>
      <c r="E126" s="520"/>
    </row>
    <row r="127" spans="1:5" ht="15" x14ac:dyDescent="0.25">
      <c r="A127" s="522" t="s">
        <v>1006</v>
      </c>
      <c r="B127" s="522"/>
      <c r="C127" s="522"/>
      <c r="D127" s="522"/>
      <c r="E127" s="523">
        <f>(E121-E122-E123)+(E124+E125+E126)</f>
        <v>12288</v>
      </c>
    </row>
    <row r="128" spans="1:5" x14ac:dyDescent="0.2">
      <c r="A128" s="519" t="s">
        <v>986</v>
      </c>
      <c r="B128" s="519" t="s">
        <v>986</v>
      </c>
      <c r="C128" s="519">
        <v>2300</v>
      </c>
      <c r="D128" s="519">
        <v>6200</v>
      </c>
      <c r="E128" s="520">
        <f>SUMIFS('Accounting data'!$G$2:$G$37000,'Accounting data'!$J$2:$J$37000,"23*",'Accounting data'!$K$2:$K$37000,"62*")</f>
        <v>5342</v>
      </c>
    </row>
    <row r="129" spans="1:5" x14ac:dyDescent="0.2">
      <c r="A129" s="519" t="s">
        <v>987</v>
      </c>
      <c r="B129" s="519" t="s">
        <v>986</v>
      </c>
      <c r="C129" s="519">
        <v>2300</v>
      </c>
      <c r="D129" s="519">
        <v>6200</v>
      </c>
      <c r="E129" s="520">
        <f>SUMIFS('Accounting data'!$G$2:$G$37000,'Accounting data'!$H$2:$H$37000,"9999*",'Accounting data'!$J$2:$J$37000,"23*",'Accounting data'!$K$2:$K$37000,"62*")</f>
        <v>0</v>
      </c>
    </row>
    <row r="130" spans="1:5" x14ac:dyDescent="0.2">
      <c r="A130" s="519" t="s">
        <v>986</v>
      </c>
      <c r="B130" s="519" t="s">
        <v>988</v>
      </c>
      <c r="C130" s="519">
        <v>2300</v>
      </c>
      <c r="D130" s="519">
        <v>6200</v>
      </c>
      <c r="E130" s="520">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21" t="s">
        <v>987</v>
      </c>
      <c r="B131" s="519" t="s">
        <v>988</v>
      </c>
      <c r="C131" s="519">
        <v>2300</v>
      </c>
      <c r="D131" s="519">
        <v>6200</v>
      </c>
      <c r="E131" s="520">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19"/>
      <c r="B132" s="519"/>
      <c r="C132" s="519"/>
      <c r="D132" s="519"/>
      <c r="E132" s="520"/>
    </row>
    <row r="133" spans="1:5" x14ac:dyDescent="0.2">
      <c r="A133" s="519"/>
      <c r="B133" s="519"/>
      <c r="C133" s="519"/>
      <c r="D133" s="519"/>
      <c r="E133" s="520"/>
    </row>
    <row r="134" spans="1:5" ht="15" x14ac:dyDescent="0.25">
      <c r="A134" s="522" t="s">
        <v>1007</v>
      </c>
      <c r="B134" s="522"/>
      <c r="C134" s="522"/>
      <c r="D134" s="522"/>
      <c r="E134" s="523">
        <f>(E128-E129-E130)+(E131+E132+E133)</f>
        <v>5342</v>
      </c>
    </row>
    <row r="135" spans="1:5" x14ac:dyDescent="0.2">
      <c r="A135" s="519" t="s">
        <v>986</v>
      </c>
      <c r="B135" s="519" t="s">
        <v>986</v>
      </c>
      <c r="C135" s="519">
        <v>2400</v>
      </c>
      <c r="D135" s="519">
        <v>6200</v>
      </c>
      <c r="E135" s="520">
        <f>SUMIFS('Accounting data'!$G$2:$G$37000,'Accounting data'!$J$2:$J$37000,"24*",'Accounting data'!$K$2:$K$37000,"62*")</f>
        <v>27194</v>
      </c>
    </row>
    <row r="136" spans="1:5" x14ac:dyDescent="0.2">
      <c r="A136" s="519" t="s">
        <v>987</v>
      </c>
      <c r="B136" s="519" t="s">
        <v>986</v>
      </c>
      <c r="C136" s="519">
        <v>2400</v>
      </c>
      <c r="D136" s="519">
        <v>6200</v>
      </c>
      <c r="E136" s="520">
        <f>SUMIFS('Accounting data'!$G$2:$G$37000,'Accounting data'!$H$2:$H$37000,"9999*",'Accounting data'!$J$2:$J$37000,"24*",'Accounting data'!$K$2:$K$37000,"62*")</f>
        <v>0</v>
      </c>
    </row>
    <row r="137" spans="1:5" x14ac:dyDescent="0.2">
      <c r="A137" s="519" t="s">
        <v>986</v>
      </c>
      <c r="B137" s="519" t="s">
        <v>988</v>
      </c>
      <c r="C137" s="519">
        <v>2400</v>
      </c>
      <c r="D137" s="519">
        <v>6200</v>
      </c>
      <c r="E137" s="520">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21" t="s">
        <v>987</v>
      </c>
      <c r="B138" s="519" t="s">
        <v>988</v>
      </c>
      <c r="C138" s="519">
        <v>2400</v>
      </c>
      <c r="D138" s="519">
        <v>6200</v>
      </c>
      <c r="E138" s="520">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19"/>
      <c r="B139" s="519"/>
      <c r="C139" s="519"/>
      <c r="D139" s="519"/>
      <c r="E139" s="520"/>
    </row>
    <row r="140" spans="1:5" x14ac:dyDescent="0.2">
      <c r="A140" s="519"/>
      <c r="B140" s="519"/>
      <c r="C140" s="519"/>
      <c r="D140" s="519"/>
      <c r="E140" s="520"/>
    </row>
    <row r="141" spans="1:5" ht="15" x14ac:dyDescent="0.25">
      <c r="A141" s="522" t="s">
        <v>1008</v>
      </c>
      <c r="B141" s="522"/>
      <c r="C141" s="522"/>
      <c r="D141" s="522"/>
      <c r="E141" s="523">
        <f>(E135-E136-E137)+(E138+E139+E140)</f>
        <v>27194</v>
      </c>
    </row>
    <row r="142" spans="1:5" x14ac:dyDescent="0.2">
      <c r="A142" s="519" t="s">
        <v>986</v>
      </c>
      <c r="B142" s="519" t="s">
        <v>986</v>
      </c>
      <c r="C142" s="519">
        <v>2500</v>
      </c>
      <c r="D142" s="519">
        <v>6200</v>
      </c>
      <c r="E142" s="520">
        <f>SUMIFS('Accounting data'!$G$2:$G$37000,'Accounting data'!$J$2:$J$37000,"25*",'Accounting data'!$K$2:$K$37000,"62*")</f>
        <v>95035</v>
      </c>
    </row>
    <row r="143" spans="1:5" x14ac:dyDescent="0.2">
      <c r="A143" s="519" t="s">
        <v>987</v>
      </c>
      <c r="B143" s="519" t="s">
        <v>986</v>
      </c>
      <c r="C143" s="519">
        <v>2500</v>
      </c>
      <c r="D143" s="519">
        <v>6200</v>
      </c>
      <c r="E143" s="520">
        <f>SUMIFS('Accounting data'!$G$2:$G$37000,'Accounting data'!$H$2:$H$37000,"9999*",'Accounting data'!$J$2:$J$37000,"25*",'Accounting data'!$K$2:$K$37000,"62*")</f>
        <v>0</v>
      </c>
    </row>
    <row r="144" spans="1:5" x14ac:dyDescent="0.2">
      <c r="A144" s="519" t="s">
        <v>986</v>
      </c>
      <c r="B144" s="519" t="s">
        <v>988</v>
      </c>
      <c r="C144" s="519">
        <v>2500</v>
      </c>
      <c r="D144" s="519">
        <v>6200</v>
      </c>
      <c r="E144" s="520">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21" t="s">
        <v>987</v>
      </c>
      <c r="B145" s="519" t="s">
        <v>988</v>
      </c>
      <c r="C145" s="519">
        <v>2500</v>
      </c>
      <c r="D145" s="519">
        <v>6200</v>
      </c>
      <c r="E145" s="520">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19"/>
      <c r="B146" s="519"/>
      <c r="C146" s="519"/>
      <c r="D146" s="519"/>
      <c r="E146" s="520"/>
    </row>
    <row r="147" spans="1:5" x14ac:dyDescent="0.2">
      <c r="A147" s="519"/>
      <c r="B147" s="519"/>
      <c r="C147" s="519"/>
      <c r="D147" s="519"/>
      <c r="E147" s="520"/>
    </row>
    <row r="148" spans="1:5" ht="15" x14ac:dyDescent="0.25">
      <c r="A148" s="522" t="s">
        <v>1009</v>
      </c>
      <c r="B148" s="522"/>
      <c r="C148" s="522"/>
      <c r="D148" s="522"/>
      <c r="E148" s="523">
        <f>(E142-E143-E144)+(E145+E146+E147)</f>
        <v>95035</v>
      </c>
    </row>
    <row r="149" spans="1:5" x14ac:dyDescent="0.2">
      <c r="A149" s="519" t="s">
        <v>986</v>
      </c>
      <c r="B149" s="519" t="s">
        <v>986</v>
      </c>
      <c r="C149" s="519">
        <v>2900</v>
      </c>
      <c r="D149" s="519">
        <v>6200</v>
      </c>
      <c r="E149" s="520">
        <f>SUMIFS('Accounting data'!$G$2:$G$37000,'Accounting data'!$J$2:$J$37000,"29*",'Accounting data'!$K$2:$K$37000,"62*")</f>
        <v>0</v>
      </c>
    </row>
    <row r="150" spans="1:5" x14ac:dyDescent="0.2">
      <c r="A150" s="519" t="s">
        <v>987</v>
      </c>
      <c r="B150" s="519" t="s">
        <v>986</v>
      </c>
      <c r="C150" s="519">
        <v>2900</v>
      </c>
      <c r="D150" s="519">
        <v>6200</v>
      </c>
      <c r="E150" s="520">
        <f>SUMIFS('Accounting data'!$G$2:$G$37000,'Accounting data'!$H$2:$H$37000,"9999*",'Accounting data'!$J$2:$J$37000,"29*",'Accounting data'!$K$2:$K$37000,"62*")</f>
        <v>0</v>
      </c>
    </row>
    <row r="151" spans="1:5" x14ac:dyDescent="0.2">
      <c r="A151" s="519" t="s">
        <v>986</v>
      </c>
      <c r="B151" s="519" t="s">
        <v>988</v>
      </c>
      <c r="C151" s="519">
        <v>2900</v>
      </c>
      <c r="D151" s="519">
        <v>6200</v>
      </c>
      <c r="E151" s="520">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21" t="s">
        <v>987</v>
      </c>
      <c r="B152" s="519" t="s">
        <v>988</v>
      </c>
      <c r="C152" s="519">
        <v>2900</v>
      </c>
      <c r="D152" s="519">
        <v>6200</v>
      </c>
      <c r="E152" s="520">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19"/>
      <c r="B153" s="519"/>
      <c r="C153" s="519"/>
      <c r="D153" s="519"/>
      <c r="E153" s="520"/>
    </row>
    <row r="154" spans="1:5" x14ac:dyDescent="0.2">
      <c r="A154" s="519"/>
      <c r="B154" s="519"/>
      <c r="C154" s="519"/>
      <c r="D154" s="519"/>
      <c r="E154" s="520"/>
    </row>
    <row r="155" spans="1:5" ht="15" x14ac:dyDescent="0.25">
      <c r="A155" s="522" t="s">
        <v>1010</v>
      </c>
      <c r="B155" s="522"/>
      <c r="C155" s="522"/>
      <c r="D155" s="522"/>
      <c r="E155" s="523">
        <f>(E149-E150-E151)+(E152+E153+E154)</f>
        <v>0</v>
      </c>
    </row>
    <row r="156" spans="1:5" x14ac:dyDescent="0.2">
      <c r="A156" s="519" t="s">
        <v>986</v>
      </c>
      <c r="B156" s="519" t="s">
        <v>986</v>
      </c>
      <c r="C156" s="519">
        <v>2600</v>
      </c>
      <c r="D156" s="519">
        <v>6200</v>
      </c>
      <c r="E156" s="520">
        <f>SUMIFS('Accounting data'!$G$2:$G$37000,'Accounting data'!$J$2:$J$37000,"26*",'Accounting data'!$K$2:$K$37000,"62*")</f>
        <v>7463</v>
      </c>
    </row>
    <row r="157" spans="1:5" x14ac:dyDescent="0.2">
      <c r="A157" s="519" t="s">
        <v>987</v>
      </c>
      <c r="B157" s="519" t="s">
        <v>986</v>
      </c>
      <c r="C157" s="519">
        <v>2600</v>
      </c>
      <c r="D157" s="519">
        <v>6200</v>
      </c>
      <c r="E157" s="520">
        <f>SUMIFS('Accounting data'!$G$2:$G$37000,'Accounting data'!$H$2:$H$37000,"9999*",'Accounting data'!$J$2:$J$37000,"26*",'Accounting data'!$K$2:$K$37000,"62*")</f>
        <v>0</v>
      </c>
    </row>
    <row r="158" spans="1:5" x14ac:dyDescent="0.2">
      <c r="A158" s="519" t="s">
        <v>986</v>
      </c>
      <c r="B158" s="519" t="s">
        <v>988</v>
      </c>
      <c r="C158" s="519">
        <v>2600</v>
      </c>
      <c r="D158" s="519">
        <v>6200</v>
      </c>
      <c r="E158" s="520">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21" t="s">
        <v>987</v>
      </c>
      <c r="B159" s="519" t="s">
        <v>988</v>
      </c>
      <c r="C159" s="519">
        <v>2600</v>
      </c>
      <c r="D159" s="519">
        <v>6200</v>
      </c>
      <c r="E159" s="520">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2" spans="1:5" ht="15" x14ac:dyDescent="0.25">
      <c r="A162" s="522" t="s">
        <v>1011</v>
      </c>
      <c r="B162" s="522"/>
      <c r="C162" s="522"/>
      <c r="D162" s="522"/>
      <c r="E162" s="523">
        <f>(E156-E157-E158)+(E159+E160+E161)</f>
        <v>7463</v>
      </c>
    </row>
    <row r="163" spans="1:5" x14ac:dyDescent="0.2">
      <c r="A163" s="519" t="s">
        <v>986</v>
      </c>
      <c r="B163" s="519" t="s">
        <v>986</v>
      </c>
      <c r="C163" s="519">
        <v>2700</v>
      </c>
      <c r="D163" s="519">
        <v>6200</v>
      </c>
      <c r="E163" s="520">
        <f>SUMIFS('Accounting data'!$G$2:$G$37000,'Accounting data'!$J$2:$J$37000,"27*",'Accounting data'!$K$2:$K$37000,"62*")</f>
        <v>1162</v>
      </c>
    </row>
    <row r="164" spans="1:5" x14ac:dyDescent="0.2">
      <c r="A164" s="519" t="s">
        <v>987</v>
      </c>
      <c r="B164" s="519" t="s">
        <v>986</v>
      </c>
      <c r="C164" s="519">
        <v>2700</v>
      </c>
      <c r="D164" s="519">
        <v>6200</v>
      </c>
      <c r="E164" s="520">
        <f>SUMIFS('Accounting data'!$G$2:$G$37000,'Accounting data'!$H$2:$H$37000,"9999*",'Accounting data'!$J$2:$J$37000,"27*",'Accounting data'!$K$2:$K$37000,"62*")</f>
        <v>0</v>
      </c>
    </row>
    <row r="165" spans="1:5" x14ac:dyDescent="0.2">
      <c r="A165" s="519" t="s">
        <v>986</v>
      </c>
      <c r="B165" s="519" t="s">
        <v>988</v>
      </c>
      <c r="C165" s="519">
        <v>2700</v>
      </c>
      <c r="D165" s="519">
        <v>6200</v>
      </c>
      <c r="E165" s="520">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21" t="s">
        <v>987</v>
      </c>
      <c r="B166" s="519" t="s">
        <v>988</v>
      </c>
      <c r="C166" s="519">
        <v>2700</v>
      </c>
      <c r="D166" s="519">
        <v>6200</v>
      </c>
      <c r="E166" s="520">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19"/>
      <c r="B167" s="519"/>
      <c r="C167" s="519"/>
      <c r="D167" s="519"/>
      <c r="E167" s="520"/>
    </row>
    <row r="168" spans="1:5" x14ac:dyDescent="0.2">
      <c r="A168" s="519"/>
      <c r="B168" s="519"/>
      <c r="C168" s="519"/>
      <c r="D168" s="519"/>
      <c r="E168" s="520"/>
    </row>
    <row r="169" spans="1:5" ht="15" x14ac:dyDescent="0.25">
      <c r="A169" s="522" t="s">
        <v>1012</v>
      </c>
      <c r="B169" s="522"/>
      <c r="C169" s="522"/>
      <c r="D169" s="522"/>
      <c r="E169" s="523">
        <f>(E163-E164-E165)+(E166+E167+E168)</f>
        <v>1162</v>
      </c>
    </row>
    <row r="170" spans="1:5" x14ac:dyDescent="0.2">
      <c r="A170" s="519" t="s">
        <v>986</v>
      </c>
      <c r="B170" s="519" t="s">
        <v>986</v>
      </c>
      <c r="C170" s="519">
        <v>3100</v>
      </c>
      <c r="D170" s="519">
        <v>6200</v>
      </c>
      <c r="E170" s="520">
        <f>SUMIFS('Accounting data'!$G$2:$G$37000,'Accounting data'!$J$2:$J$37000,"31*",'Accounting data'!$K$2:$K$37000,"62*")</f>
        <v>7</v>
      </c>
    </row>
    <row r="171" spans="1:5" x14ac:dyDescent="0.2">
      <c r="A171" s="519" t="s">
        <v>987</v>
      </c>
      <c r="B171" s="519" t="s">
        <v>986</v>
      </c>
      <c r="C171" s="519">
        <v>3100</v>
      </c>
      <c r="D171" s="519">
        <v>6200</v>
      </c>
      <c r="E171" s="520">
        <f>SUMIFS('Accounting data'!$G$2:$G$37000,'Accounting data'!$H$2:$H$37000,"9999*",'Accounting data'!$J$2:$J$37000,"31*",'Accounting data'!$K$2:$K$37000,"62*")</f>
        <v>0</v>
      </c>
    </row>
    <row r="172" spans="1:5" x14ac:dyDescent="0.2">
      <c r="A172" s="519" t="s">
        <v>986</v>
      </c>
      <c r="B172" s="519" t="s">
        <v>988</v>
      </c>
      <c r="C172" s="519">
        <v>3100</v>
      </c>
      <c r="D172" s="519">
        <v>6200</v>
      </c>
      <c r="E172" s="520">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21" t="s">
        <v>987</v>
      </c>
      <c r="B173" s="519" t="s">
        <v>988</v>
      </c>
      <c r="C173" s="519">
        <v>3100</v>
      </c>
      <c r="D173" s="519">
        <v>6200</v>
      </c>
      <c r="E173" s="520">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19"/>
      <c r="B174" s="519"/>
      <c r="C174" s="519"/>
      <c r="D174" s="519"/>
      <c r="E174" s="520"/>
    </row>
    <row r="175" spans="1:5" x14ac:dyDescent="0.2">
      <c r="A175" s="519"/>
      <c r="B175" s="519"/>
      <c r="C175" s="519"/>
      <c r="D175" s="519"/>
      <c r="E175" s="520"/>
    </row>
    <row r="176" spans="1:5" ht="15" x14ac:dyDescent="0.25">
      <c r="A176" s="522" t="s">
        <v>1013</v>
      </c>
      <c r="B176" s="522"/>
      <c r="C176" s="522"/>
      <c r="D176" s="522"/>
      <c r="E176" s="523">
        <f>(E170-E171-E172)+(E173+E174+E175)</f>
        <v>7</v>
      </c>
    </row>
    <row r="184" spans="1:5" x14ac:dyDescent="0.2">
      <c r="A184" s="519" t="s">
        <v>986</v>
      </c>
      <c r="B184" s="519" t="s">
        <v>986</v>
      </c>
      <c r="C184" s="519">
        <v>3400</v>
      </c>
      <c r="D184" s="519">
        <v>6200</v>
      </c>
      <c r="E184" s="520">
        <f>SUMIFS('Accounting data'!$G$2:$G$37000,'Accounting data'!$J$2:$J$37000,"34*",'Accounting data'!$K$2:$K$37000,"62*")</f>
        <v>0</v>
      </c>
    </row>
    <row r="185" spans="1:5" x14ac:dyDescent="0.2">
      <c r="A185" s="519" t="s">
        <v>987</v>
      </c>
      <c r="B185" s="519" t="s">
        <v>986</v>
      </c>
      <c r="C185" s="519">
        <v>3400</v>
      </c>
      <c r="D185" s="519">
        <v>6200</v>
      </c>
      <c r="E185" s="520">
        <f>SUMIFS('Accounting data'!$G$2:$G$37000,'Accounting data'!$H$2:$H$37000,"9999*",'Accounting data'!$J$2:$J$37000,"34*",'Accounting data'!$K$2:$K$37000,"62*")</f>
        <v>0</v>
      </c>
    </row>
    <row r="186" spans="1:5" x14ac:dyDescent="0.2">
      <c r="A186" s="519" t="s">
        <v>986</v>
      </c>
      <c r="B186" s="519" t="s">
        <v>988</v>
      </c>
      <c r="C186" s="519">
        <v>3400</v>
      </c>
      <c r="D186" s="519">
        <v>6200</v>
      </c>
      <c r="E186" s="520">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21" t="s">
        <v>987</v>
      </c>
      <c r="B187" s="519" t="s">
        <v>988</v>
      </c>
      <c r="C187" s="519">
        <v>3400</v>
      </c>
      <c r="D187" s="519">
        <v>6200</v>
      </c>
      <c r="E187" s="520">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19"/>
      <c r="B188" s="519"/>
      <c r="C188" s="519"/>
      <c r="D188" s="519"/>
      <c r="E188" s="520"/>
    </row>
    <row r="189" spans="1:5" x14ac:dyDescent="0.2">
      <c r="A189" s="519"/>
      <c r="B189" s="519"/>
      <c r="C189" s="519"/>
      <c r="D189" s="519"/>
      <c r="E189" s="520"/>
    </row>
    <row r="190" spans="1:5" ht="15" x14ac:dyDescent="0.25">
      <c r="A190" s="522" t="s">
        <v>1014</v>
      </c>
      <c r="B190" s="522"/>
      <c r="C190" s="522"/>
      <c r="D190" s="522"/>
      <c r="E190" s="523">
        <f>(E184-E185-E186)+(E187+E188+E189)</f>
        <v>0</v>
      </c>
    </row>
    <row r="191" spans="1:5" x14ac:dyDescent="0.2">
      <c r="A191" s="519" t="s">
        <v>986</v>
      </c>
      <c r="B191" s="519" t="s">
        <v>986</v>
      </c>
      <c r="C191" s="519">
        <v>4000</v>
      </c>
      <c r="D191" s="519">
        <v>6200</v>
      </c>
      <c r="E191" s="520">
        <f>SUMIFS('Accounting data'!$G$2:$G$37000,'Accounting data'!$J$2:$J$37000,"4*",'Accounting data'!$K$2:$K$37000,"62*")</f>
        <v>0</v>
      </c>
    </row>
    <row r="192" spans="1:5" x14ac:dyDescent="0.2">
      <c r="A192" s="519" t="s">
        <v>987</v>
      </c>
      <c r="B192" s="519" t="s">
        <v>986</v>
      </c>
      <c r="C192" s="519">
        <v>4000</v>
      </c>
      <c r="D192" s="519">
        <v>6200</v>
      </c>
      <c r="E192" s="520">
        <f>SUMIFS('Accounting data'!$G$2:$G$37000,'Accounting data'!$H$2:$H$37000,"9999*",'Accounting data'!$J$2:$J$37000,"4*",'Accounting data'!$K$2:$K$37000,"62*")</f>
        <v>0</v>
      </c>
    </row>
    <row r="193" spans="1:5" x14ac:dyDescent="0.2">
      <c r="A193" s="519" t="s">
        <v>986</v>
      </c>
      <c r="B193" s="519" t="s">
        <v>988</v>
      </c>
      <c r="C193" s="519">
        <v>4000</v>
      </c>
      <c r="D193" s="519">
        <v>6200</v>
      </c>
      <c r="E193" s="520">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21" t="s">
        <v>987</v>
      </c>
      <c r="B194" s="519" t="s">
        <v>988</v>
      </c>
      <c r="C194" s="519">
        <v>4000</v>
      </c>
      <c r="D194" s="519">
        <v>6200</v>
      </c>
      <c r="E194" s="520">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19"/>
      <c r="B195" s="519"/>
      <c r="C195" s="519"/>
      <c r="D195" s="519"/>
      <c r="E195" s="520"/>
    </row>
    <row r="196" spans="1:5" x14ac:dyDescent="0.2">
      <c r="A196" s="519"/>
      <c r="B196" s="519"/>
      <c r="C196" s="519"/>
      <c r="D196" s="519"/>
      <c r="E196" s="520"/>
    </row>
    <row r="197" spans="1:5" ht="15" x14ac:dyDescent="0.25">
      <c r="A197" s="522" t="s">
        <v>1015</v>
      </c>
      <c r="B197" s="522"/>
      <c r="C197" s="522"/>
      <c r="D197" s="522"/>
      <c r="E197" s="523">
        <f>(E191-E192-E193)+(E194+E195+E196)</f>
        <v>0</v>
      </c>
    </row>
    <row r="198" spans="1:5" ht="15" x14ac:dyDescent="0.25">
      <c r="A198" s="525" t="s">
        <v>1016</v>
      </c>
      <c r="B198" s="525"/>
      <c r="C198" s="525"/>
      <c r="D198" s="525"/>
      <c r="E198" s="526">
        <f>E113+E120+E127+E134+E141+E148+E155+E162+E169+E176+E183+E190</f>
        <v>696855</v>
      </c>
    </row>
    <row r="199" spans="1:5" ht="15" x14ac:dyDescent="0.25">
      <c r="A199" s="519" t="s">
        <v>1002</v>
      </c>
      <c r="B199" s="519" t="s">
        <v>986</v>
      </c>
      <c r="C199" s="519">
        <v>1000</v>
      </c>
      <c r="D199" s="519">
        <v>6200</v>
      </c>
      <c r="E199" s="527">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0</v>
      </c>
    </row>
    <row r="200" spans="1:5" ht="15" x14ac:dyDescent="0.25">
      <c r="A200" s="519" t="s">
        <v>1002</v>
      </c>
      <c r="B200" s="519" t="s">
        <v>986</v>
      </c>
      <c r="C200" s="519">
        <v>2000</v>
      </c>
      <c r="D200" s="519">
        <v>6200</v>
      </c>
      <c r="E200" s="527">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10233</v>
      </c>
    </row>
    <row r="201" spans="1:5" ht="15" x14ac:dyDescent="0.25">
      <c r="A201" s="519" t="s">
        <v>1002</v>
      </c>
      <c r="B201" s="519" t="s">
        <v>986</v>
      </c>
      <c r="C201" s="519">
        <v>3000</v>
      </c>
      <c r="D201" s="519">
        <v>6200</v>
      </c>
      <c r="E201" s="527">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19" t="s">
        <v>1002</v>
      </c>
      <c r="B202" s="521">
        <v>700</v>
      </c>
      <c r="C202" s="519">
        <v>1000</v>
      </c>
      <c r="D202" s="519">
        <v>6200</v>
      </c>
      <c r="E202" s="527">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19" t="s">
        <v>1002</v>
      </c>
      <c r="B203" s="521">
        <v>800</v>
      </c>
      <c r="C203" s="519">
        <v>1000</v>
      </c>
      <c r="D203" s="519">
        <v>6200</v>
      </c>
      <c r="E203" s="527">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19" t="s">
        <v>1002</v>
      </c>
      <c r="B204" s="521">
        <v>900</v>
      </c>
      <c r="C204" s="519">
        <v>1000</v>
      </c>
      <c r="D204" s="519">
        <v>6200</v>
      </c>
      <c r="E204" s="527">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19" t="s">
        <v>1002</v>
      </c>
      <c r="B205" s="521">
        <v>700</v>
      </c>
      <c r="C205" s="519">
        <v>2000</v>
      </c>
      <c r="D205" s="519">
        <v>6200</v>
      </c>
      <c r="E205" s="527">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19" t="s">
        <v>1002</v>
      </c>
      <c r="B206" s="521">
        <v>800</v>
      </c>
      <c r="C206" s="519">
        <v>2000</v>
      </c>
      <c r="D206" s="519">
        <v>6200</v>
      </c>
      <c r="E206" s="527">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19" t="s">
        <v>1002</v>
      </c>
      <c r="B207" s="521">
        <v>900</v>
      </c>
      <c r="C207" s="519">
        <v>2000</v>
      </c>
      <c r="D207" s="519">
        <v>6200</v>
      </c>
      <c r="E207" s="527">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19" t="s">
        <v>1002</v>
      </c>
      <c r="B208" s="521">
        <v>700</v>
      </c>
      <c r="C208" s="519">
        <v>3000</v>
      </c>
      <c r="D208" s="519">
        <v>6200</v>
      </c>
      <c r="E208" s="527">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19" t="s">
        <v>1002</v>
      </c>
      <c r="B209" s="521">
        <v>800</v>
      </c>
      <c r="C209" s="519">
        <v>3000</v>
      </c>
      <c r="D209" s="519">
        <v>6200</v>
      </c>
      <c r="E209" s="527">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19" t="s">
        <v>1002</v>
      </c>
      <c r="B210" s="521">
        <v>900</v>
      </c>
      <c r="C210" s="519">
        <v>3000</v>
      </c>
      <c r="D210" s="519">
        <v>6200</v>
      </c>
      <c r="E210" s="527">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22" t="s">
        <v>1017</v>
      </c>
      <c r="B211" s="522"/>
      <c r="C211" s="522"/>
      <c r="D211" s="522"/>
      <c r="E211" s="523">
        <f>(E199+E200+E201)-(E202+E203+E204+E205+E206+E207+E208+E209+E210)</f>
        <v>10233</v>
      </c>
    </row>
    <row r="212" spans="1:5" ht="15" x14ac:dyDescent="0.25">
      <c r="A212" s="519" t="s">
        <v>986</v>
      </c>
      <c r="B212" s="519" t="s">
        <v>986</v>
      </c>
      <c r="C212" s="519">
        <v>1000</v>
      </c>
      <c r="D212" s="528" t="s">
        <v>1018</v>
      </c>
      <c r="E212" s="527">
        <f>SUMIFS('Accounting data'!$G$2:$G$37000,'Accounting data'!$J$2:$J$37000,"1*",'Accounting data'!$K$2:$K$37000,"63*")+SUMIFS('Accounting data'!$G$2:$G$37000,'Accounting data'!$J$2:$J$37000,"1*",'Accounting data'!$K$2:$K$37000,"64*")+SUMIFS('Accounting data'!$G$2:$G$37000,'Accounting data'!$J$2:$J$37000,"1*",'Accounting data'!$K$2:$K$37000,"65*")</f>
        <v>90519</v>
      </c>
    </row>
    <row r="213" spans="1:5" ht="15" x14ac:dyDescent="0.25">
      <c r="A213" s="519" t="s">
        <v>987</v>
      </c>
      <c r="B213" s="519" t="s">
        <v>986</v>
      </c>
      <c r="C213" s="519">
        <v>1000</v>
      </c>
      <c r="D213" s="519">
        <v>6300</v>
      </c>
      <c r="E213" s="527">
        <f>SUMIFS('Accounting data'!$G$2:$G$37000,'Accounting data'!$H$2:$H$37000,"9999*",'Accounting data'!$J$2:$J$37000,"1*",'Accounting data'!$K$2:$K$37000,"63*")</f>
        <v>0</v>
      </c>
    </row>
    <row r="214" spans="1:5" ht="15" x14ac:dyDescent="0.25">
      <c r="A214" s="519" t="s">
        <v>987</v>
      </c>
      <c r="B214" s="519" t="s">
        <v>986</v>
      </c>
      <c r="C214" s="519">
        <v>1000</v>
      </c>
      <c r="D214" s="519">
        <v>6400</v>
      </c>
      <c r="E214" s="527">
        <f>SUMIFS('Accounting data'!$G$2:$G$37000,'Accounting data'!$H$2:$H$37000,"9999*",'Accounting data'!$J$2:$J$37000,"1*",'Accounting data'!$K$2:$K$37000,"64*")</f>
        <v>0</v>
      </c>
    </row>
    <row r="215" spans="1:5" ht="15" x14ac:dyDescent="0.25">
      <c r="A215" s="519" t="s">
        <v>987</v>
      </c>
      <c r="B215" s="519" t="s">
        <v>986</v>
      </c>
      <c r="C215" s="519">
        <v>1000</v>
      </c>
      <c r="D215" s="519">
        <v>6500</v>
      </c>
      <c r="E215" s="527">
        <f>SUMIFS('Accounting data'!$G$2:$G$37000,'Accounting data'!$H$2:$H$37000,"9999*",'Accounting data'!$J$2:$J$37000,"1*",'Accounting data'!$K$2:$K$37000,"65*")</f>
        <v>0</v>
      </c>
    </row>
    <row r="216" spans="1:5" ht="15" x14ac:dyDescent="0.25">
      <c r="A216" s="519" t="s">
        <v>986</v>
      </c>
      <c r="B216" s="519" t="s">
        <v>988</v>
      </c>
      <c r="C216" s="519">
        <v>1000</v>
      </c>
      <c r="D216" s="528" t="s">
        <v>1018</v>
      </c>
      <c r="E216" s="527">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21" t="s">
        <v>987</v>
      </c>
      <c r="B217" s="519" t="s">
        <v>988</v>
      </c>
      <c r="C217" s="519">
        <v>1000</v>
      </c>
      <c r="D217" s="519">
        <v>6300</v>
      </c>
      <c r="E217" s="527">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21" t="s">
        <v>987</v>
      </c>
      <c r="B218" s="519" t="s">
        <v>988</v>
      </c>
      <c r="C218" s="519">
        <v>1000</v>
      </c>
      <c r="D218" s="519">
        <v>6400</v>
      </c>
      <c r="E218" s="527">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21" t="s">
        <v>987</v>
      </c>
      <c r="B219" s="519" t="s">
        <v>988</v>
      </c>
      <c r="C219" s="519">
        <v>1000</v>
      </c>
      <c r="D219" s="519">
        <v>6500</v>
      </c>
      <c r="E219" s="527">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38" spans="1:5" ht="15" x14ac:dyDescent="0.25">
      <c r="A238" s="522" t="s">
        <v>1019</v>
      </c>
      <c r="B238" s="522"/>
      <c r="C238" s="522"/>
      <c r="D238" s="522"/>
      <c r="E238" s="523">
        <f>((E212-E213-E214-E215-E216)+(E217+E218+E219+E220+E221+E222+E223+E224+E225))-((E226-E227-E228)+(E229+E230+E231))-((E232-E233-E234)+(E235+E236+E237))</f>
        <v>90519</v>
      </c>
    </row>
    <row r="239" spans="1:5" x14ac:dyDescent="0.2">
      <c r="A239" s="519" t="s">
        <v>986</v>
      </c>
      <c r="B239" s="519" t="s">
        <v>986</v>
      </c>
      <c r="C239" s="519">
        <v>2100</v>
      </c>
      <c r="D239" s="528" t="s">
        <v>1018</v>
      </c>
      <c r="E239" s="520">
        <f>SUMIFS('Accounting data'!$G$2:$G$37000,'Accounting data'!$J$2:$J$37000,"21*",'Accounting data'!$K$2:$K$37000,"63*")+SUMIFS('Accounting data'!$G$2:$G$37000,'Accounting data'!$J$2:$J$37000,"21*",'Accounting data'!$K$2:$K$37000,"64*")+SUMIFS('Accounting data'!$G$2:$G$37000,'Accounting data'!$J$2:$J$37000,"21*",'Accounting data'!$K$2:$K$37000,"65*")</f>
        <v>38586</v>
      </c>
    </row>
    <row r="240" spans="1:5" x14ac:dyDescent="0.2">
      <c r="A240" s="519" t="s">
        <v>987</v>
      </c>
      <c r="B240" s="519" t="s">
        <v>986</v>
      </c>
      <c r="C240" s="519">
        <v>2100</v>
      </c>
      <c r="D240" s="519">
        <v>6300</v>
      </c>
      <c r="E240" s="520">
        <f>SUMIFS('Accounting data'!$G$2:$G$37000,'Accounting data'!$H$2:$H$37000,"9999*",'Accounting data'!$J$2:$J$37000,"21*",'Accounting data'!$K$2:$K$37000,"63*")</f>
        <v>0</v>
      </c>
    </row>
    <row r="241" spans="1:5" x14ac:dyDescent="0.2">
      <c r="A241" s="519" t="s">
        <v>987</v>
      </c>
      <c r="B241" s="519" t="s">
        <v>986</v>
      </c>
      <c r="C241" s="519">
        <v>2100</v>
      </c>
      <c r="D241" s="519">
        <v>6400</v>
      </c>
      <c r="E241" s="520">
        <f>SUMIFS('Accounting data'!$G$2:$G$37000,'Accounting data'!$H$2:$H$37000,"9999*",'Accounting data'!$J$2:$J$37000,"21*",'Accounting data'!$K$2:$K$37000,"64*")</f>
        <v>0</v>
      </c>
    </row>
    <row r="242" spans="1:5" x14ac:dyDescent="0.2">
      <c r="A242" s="519" t="s">
        <v>987</v>
      </c>
      <c r="B242" s="519" t="s">
        <v>986</v>
      </c>
      <c r="C242" s="519">
        <v>2100</v>
      </c>
      <c r="D242" s="519">
        <v>6500</v>
      </c>
      <c r="E242" s="520">
        <f>SUMIFS('Accounting data'!$G$2:$G$37000,'Accounting data'!$H$2:$H$37000,"9999*",'Accounting data'!$J$2:$J$37000,"21*",'Accounting data'!$K$2:$K$37000,"65*")</f>
        <v>0</v>
      </c>
    </row>
    <row r="243" spans="1:5" x14ac:dyDescent="0.2">
      <c r="A243" s="519" t="s">
        <v>986</v>
      </c>
      <c r="B243" s="519" t="s">
        <v>988</v>
      </c>
      <c r="C243" s="519">
        <v>2100</v>
      </c>
      <c r="D243" s="528" t="s">
        <v>1018</v>
      </c>
      <c r="E243" s="520">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21" t="s">
        <v>987</v>
      </c>
      <c r="B244" s="519" t="s">
        <v>988</v>
      </c>
      <c r="C244" s="519">
        <v>2100</v>
      </c>
      <c r="D244" s="519">
        <v>6300</v>
      </c>
      <c r="E244" s="520">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21" t="s">
        <v>987</v>
      </c>
      <c r="B245" s="519" t="s">
        <v>988</v>
      </c>
      <c r="C245" s="519">
        <v>2100</v>
      </c>
      <c r="D245" s="519">
        <v>6400</v>
      </c>
      <c r="E245" s="520">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21" t="s">
        <v>987</v>
      </c>
      <c r="B246" s="519" t="s">
        <v>988</v>
      </c>
      <c r="C246" s="519">
        <v>2100</v>
      </c>
      <c r="D246" s="519">
        <v>6500</v>
      </c>
      <c r="E246" s="520">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65" spans="1:5" x14ac:dyDescent="0.2">
      <c r="A265" s="522" t="s">
        <v>1020</v>
      </c>
      <c r="B265" s="522"/>
      <c r="C265" s="522"/>
      <c r="D265" s="522"/>
      <c r="E265" s="524">
        <f>((E239-E240-E241-E242-E243)+(E244+E245+E246+E247+E248+E249+E250+E251+E252))-((E253-E254-E255)+(E256+E257+E258))-((E259-E260-E261)+(E262+E263+E264))</f>
        <v>38586</v>
      </c>
    </row>
    <row r="266" spans="1:5" x14ac:dyDescent="0.2">
      <c r="A266" s="519" t="s">
        <v>986</v>
      </c>
      <c r="B266" s="519" t="s">
        <v>986</v>
      </c>
      <c r="C266" s="519">
        <v>2200</v>
      </c>
      <c r="D266" s="528" t="s">
        <v>1018</v>
      </c>
      <c r="E266" s="520">
        <f>SUMIFS('Accounting data'!$G$2:$G$37000,'Accounting data'!$J$2:$J$37000,"22*",'Accounting data'!$K$2:$K$37000,"63*")+SUMIFS('Accounting data'!$G$2:$G$37000,'Accounting data'!$J$2:$J$37000,"22*",'Accounting data'!$K$2:$K$37000,"64*")+SUMIFS('Accounting data'!$G$2:$G$37000,'Accounting data'!$J$2:$J$37000,"22*",'Accounting data'!$K$2:$K$37000,"65*")</f>
        <v>10248</v>
      </c>
    </row>
    <row r="267" spans="1:5" x14ac:dyDescent="0.2">
      <c r="A267" s="519" t="s">
        <v>987</v>
      </c>
      <c r="B267" s="519" t="s">
        <v>986</v>
      </c>
      <c r="C267" s="519">
        <v>2200</v>
      </c>
      <c r="D267" s="519">
        <v>6300</v>
      </c>
      <c r="E267" s="520">
        <f>SUMIFS('Accounting data'!$G$2:$G$37000,'Accounting data'!$H$2:$H$37000,"9999*",'Accounting data'!$J$2:$J$37000,"22*",'Accounting data'!$K$2:$K$37000,"63*")</f>
        <v>0</v>
      </c>
    </row>
    <row r="268" spans="1:5" x14ac:dyDescent="0.2">
      <c r="A268" s="519" t="s">
        <v>987</v>
      </c>
      <c r="B268" s="519" t="s">
        <v>986</v>
      </c>
      <c r="C268" s="519">
        <v>2200</v>
      </c>
      <c r="D268" s="519">
        <v>6400</v>
      </c>
      <c r="E268" s="520">
        <f>SUMIFS('Accounting data'!$G$2:$G$37000,'Accounting data'!$H$2:$H$37000,"9999*",'Accounting data'!$J$2:$J$37000,"22*",'Accounting data'!$K$2:$K$37000,"64*")</f>
        <v>0</v>
      </c>
    </row>
    <row r="269" spans="1:5" x14ac:dyDescent="0.2">
      <c r="A269" s="519" t="s">
        <v>987</v>
      </c>
      <c r="B269" s="519" t="s">
        <v>986</v>
      </c>
      <c r="C269" s="519">
        <v>2200</v>
      </c>
      <c r="D269" s="519">
        <v>6500</v>
      </c>
      <c r="E269" s="520">
        <f>SUMIFS('Accounting data'!$G$2:$G$37000,'Accounting data'!$H$2:$H$37000,"9999*",'Accounting data'!$J$2:$J$37000,"22*",'Accounting data'!$K$2:$K$37000,"65*")</f>
        <v>0</v>
      </c>
    </row>
    <row r="270" spans="1:5" x14ac:dyDescent="0.2">
      <c r="A270" s="519" t="s">
        <v>986</v>
      </c>
      <c r="B270" s="519" t="s">
        <v>988</v>
      </c>
      <c r="C270" s="519">
        <v>2200</v>
      </c>
      <c r="D270" s="528" t="s">
        <v>1018</v>
      </c>
      <c r="E270" s="520">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21" t="s">
        <v>987</v>
      </c>
      <c r="B271" s="519" t="s">
        <v>988</v>
      </c>
      <c r="C271" s="519">
        <v>2200</v>
      </c>
      <c r="D271" s="519">
        <v>6300</v>
      </c>
      <c r="E271" s="520">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21" t="s">
        <v>987</v>
      </c>
      <c r="B272" s="519" t="s">
        <v>988</v>
      </c>
      <c r="C272" s="519">
        <v>2200</v>
      </c>
      <c r="D272" s="519">
        <v>6400</v>
      </c>
      <c r="E272" s="520">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21" t="s">
        <v>987</v>
      </c>
      <c r="B273" s="519" t="s">
        <v>988</v>
      </c>
      <c r="C273" s="519">
        <v>2200</v>
      </c>
      <c r="D273" s="519">
        <v>6500</v>
      </c>
      <c r="E273" s="520">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92" spans="1:5" x14ac:dyDescent="0.2">
      <c r="A292" s="522" t="s">
        <v>1021</v>
      </c>
      <c r="B292" s="522"/>
      <c r="C292" s="522"/>
      <c r="D292" s="522"/>
      <c r="E292" s="524">
        <f>((E266-E267-E268-E269-E270)+(E271+E272+E273+E274+E275+E276+E277+E278+E279))-((E280-E281-E282)+(E283+E284+E285))-((E286-E287-E288)+(E289+E290+E291))</f>
        <v>10248</v>
      </c>
    </row>
    <row r="293" spans="1:5" x14ac:dyDescent="0.2">
      <c r="A293" s="519" t="s">
        <v>986</v>
      </c>
      <c r="B293" s="519" t="s">
        <v>986</v>
      </c>
      <c r="C293" s="519">
        <v>2300</v>
      </c>
      <c r="D293" s="528" t="s">
        <v>1018</v>
      </c>
      <c r="E293" s="520">
        <f>SUMIFS('Accounting data'!$G$2:$G$37000,'Accounting data'!$J$2:$J$37000,"23*",'Accounting data'!$K$2:$K$37000,"63*")+SUMIFS('Accounting data'!$G$2:$G$37000,'Accounting data'!$J$2:$J$37000,"23*",'Accounting data'!$K$2:$K$37000,"64*")+SUMIFS('Accounting data'!$G$2:$G$37000,'Accounting data'!$J$2:$J$37000,"23*",'Accounting data'!$K$2:$K$37000,"65*")</f>
        <v>3763</v>
      </c>
    </row>
    <row r="294" spans="1:5" x14ac:dyDescent="0.2">
      <c r="A294" s="519" t="s">
        <v>987</v>
      </c>
      <c r="B294" s="519" t="s">
        <v>986</v>
      </c>
      <c r="C294" s="519">
        <v>2300</v>
      </c>
      <c r="D294" s="519">
        <v>6300</v>
      </c>
      <c r="E294" s="520">
        <f>SUMIFS('Accounting data'!$G$2:$G$37000,'Accounting data'!$H$2:$H$37000,"9999*",'Accounting data'!$J$2:$J$37000,"23*",'Accounting data'!$K$2:$K$37000,"63*")</f>
        <v>0</v>
      </c>
    </row>
    <row r="295" spans="1:5" x14ac:dyDescent="0.2">
      <c r="A295" s="519" t="s">
        <v>987</v>
      </c>
      <c r="B295" s="519" t="s">
        <v>986</v>
      </c>
      <c r="C295" s="519">
        <v>2300</v>
      </c>
      <c r="D295" s="519">
        <v>6400</v>
      </c>
      <c r="E295" s="520">
        <f>SUMIFS('Accounting data'!$G$2:$G$37000,'Accounting data'!$H$2:$H$37000,"9999*",'Accounting data'!$J$2:$J$37000,"23*",'Accounting data'!$K$2:$K$37000,"64*")</f>
        <v>0</v>
      </c>
    </row>
    <row r="296" spans="1:5" x14ac:dyDescent="0.2">
      <c r="A296" s="519" t="s">
        <v>987</v>
      </c>
      <c r="B296" s="519" t="s">
        <v>986</v>
      </c>
      <c r="C296" s="519">
        <v>2300</v>
      </c>
      <c r="D296" s="519">
        <v>6500</v>
      </c>
      <c r="E296" s="520">
        <f>SUMIFS('Accounting data'!$G$2:$G$37000,'Accounting data'!$H$2:$H$37000,"9999*",'Accounting data'!$J$2:$J$37000,"23*",'Accounting data'!$K$2:$K$37000,"65*")</f>
        <v>0</v>
      </c>
    </row>
    <row r="297" spans="1:5" x14ac:dyDescent="0.2">
      <c r="A297" s="519" t="s">
        <v>986</v>
      </c>
      <c r="B297" s="519" t="s">
        <v>988</v>
      </c>
      <c r="C297" s="519">
        <v>2300</v>
      </c>
      <c r="D297" s="528" t="s">
        <v>1018</v>
      </c>
      <c r="E297" s="520">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21" t="s">
        <v>987</v>
      </c>
      <c r="B298" s="519" t="s">
        <v>988</v>
      </c>
      <c r="C298" s="519">
        <v>2300</v>
      </c>
      <c r="D298" s="519">
        <v>6300</v>
      </c>
      <c r="E298" s="520">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21" t="s">
        <v>987</v>
      </c>
      <c r="B299" s="519" t="s">
        <v>988</v>
      </c>
      <c r="C299" s="519">
        <v>2300</v>
      </c>
      <c r="D299" s="519">
        <v>6400</v>
      </c>
      <c r="E299" s="520">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21" t="s">
        <v>987</v>
      </c>
      <c r="B300" s="519" t="s">
        <v>988</v>
      </c>
      <c r="C300" s="519">
        <v>2300</v>
      </c>
      <c r="D300" s="519">
        <v>6500</v>
      </c>
      <c r="E300" s="520">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19" spans="1:5" x14ac:dyDescent="0.2">
      <c r="A319" s="522" t="s">
        <v>1022</v>
      </c>
      <c r="B319" s="522"/>
      <c r="C319" s="522"/>
      <c r="D319" s="522"/>
      <c r="E319" s="524">
        <f>((E293-E294-E295-E296-E297)+(E298+E299+E300+E301+E302+E303+E304+E305+E306))-((E307-E308-E309)+(E310+E311+E312))-((E313-E314-E315)+(E316+E317+E318))</f>
        <v>3763</v>
      </c>
    </row>
    <row r="320" spans="1:5" x14ac:dyDescent="0.2">
      <c r="A320" s="519" t="s">
        <v>986</v>
      </c>
      <c r="B320" s="519" t="s">
        <v>986</v>
      </c>
      <c r="C320" s="519">
        <v>2400</v>
      </c>
      <c r="D320" s="528" t="s">
        <v>1018</v>
      </c>
      <c r="E320" s="520">
        <f>SUMIFS('Accounting data'!$G$2:$G$37000,'Accounting data'!$J$2:$J$37000,"24*",'Accounting data'!$K$2:$K$37000,"63*")+SUMIFS('Accounting data'!$G$2:$G$37000,'Accounting data'!$J$2:$J$37000,"24*",'Accounting data'!$K$2:$K$37000,"64*")+SUMIFS('Accounting data'!$G$2:$G$37000,'Accounting data'!$J$2:$J$37000,"24*",'Accounting data'!$K$2:$K$37000,"65*")</f>
        <v>748</v>
      </c>
    </row>
    <row r="321" spans="1:5" x14ac:dyDescent="0.2">
      <c r="A321" s="519" t="s">
        <v>987</v>
      </c>
      <c r="B321" s="519" t="s">
        <v>986</v>
      </c>
      <c r="C321" s="519">
        <v>2400</v>
      </c>
      <c r="D321" s="519">
        <v>6300</v>
      </c>
      <c r="E321" s="520">
        <f>SUMIFS('Accounting data'!$G$2:$G$37000,'Accounting data'!$H$2:$H$37000,"9999*",'Accounting data'!$J$2:$J$37000,"24*",'Accounting data'!$K$2:$K$37000,"63*")</f>
        <v>0</v>
      </c>
    </row>
    <row r="322" spans="1:5" x14ac:dyDescent="0.2">
      <c r="A322" s="519" t="s">
        <v>987</v>
      </c>
      <c r="B322" s="519" t="s">
        <v>986</v>
      </c>
      <c r="C322" s="519">
        <v>2400</v>
      </c>
      <c r="D322" s="519">
        <v>6400</v>
      </c>
      <c r="E322" s="520">
        <f>SUMIFS('Accounting data'!$G$2:$G$37000,'Accounting data'!$H$2:$H$37000,"9999*",'Accounting data'!$J$2:$J$37000,"24*",'Accounting data'!$K$2:$K$37000,"64*")</f>
        <v>0</v>
      </c>
    </row>
    <row r="323" spans="1:5" x14ac:dyDescent="0.2">
      <c r="A323" s="519" t="s">
        <v>987</v>
      </c>
      <c r="B323" s="519" t="s">
        <v>986</v>
      </c>
      <c r="C323" s="519">
        <v>2400</v>
      </c>
      <c r="D323" s="519">
        <v>6500</v>
      </c>
      <c r="E323" s="520">
        <f>SUMIFS('Accounting data'!$G$2:$G$37000,'Accounting data'!$H$2:$H$37000,"9999*",'Accounting data'!$J$2:$J$37000,"24*",'Accounting data'!$K$2:$K$37000,"65*")</f>
        <v>0</v>
      </c>
    </row>
    <row r="324" spans="1:5" x14ac:dyDescent="0.2">
      <c r="A324" s="519" t="s">
        <v>986</v>
      </c>
      <c r="B324" s="519" t="s">
        <v>988</v>
      </c>
      <c r="C324" s="519">
        <v>2400</v>
      </c>
      <c r="D324" s="528" t="s">
        <v>1018</v>
      </c>
      <c r="E324" s="520">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21" t="s">
        <v>987</v>
      </c>
      <c r="B325" s="519" t="s">
        <v>988</v>
      </c>
      <c r="C325" s="519">
        <v>2400</v>
      </c>
      <c r="D325" s="519">
        <v>6300</v>
      </c>
      <c r="E325" s="520">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21" t="s">
        <v>987</v>
      </c>
      <c r="B326" s="519" t="s">
        <v>988</v>
      </c>
      <c r="C326" s="519">
        <v>2400</v>
      </c>
      <c r="D326" s="519">
        <v>6400</v>
      </c>
      <c r="E326" s="520">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21" t="s">
        <v>987</v>
      </c>
      <c r="B327" s="519" t="s">
        <v>988</v>
      </c>
      <c r="C327" s="519">
        <v>2400</v>
      </c>
      <c r="D327" s="519">
        <v>6500</v>
      </c>
      <c r="E327" s="520">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46" spans="1:5" x14ac:dyDescent="0.2">
      <c r="A346" s="522" t="s">
        <v>1023</v>
      </c>
      <c r="B346" s="522"/>
      <c r="C346" s="522"/>
      <c r="D346" s="522"/>
      <c r="E346" s="524">
        <f>((E320-E321-E322-E323-E324)+(E325+E326+E327+E328+E329+E330+E331+E332+E333))-((E334-E335-E336)+(E337+E338+E339))-((E340-E341-E342)+(E343+E344+E345))</f>
        <v>748</v>
      </c>
    </row>
    <row r="347" spans="1:5" x14ac:dyDescent="0.2">
      <c r="A347" s="519" t="s">
        <v>986</v>
      </c>
      <c r="B347" s="519" t="s">
        <v>986</v>
      </c>
      <c r="C347" s="519">
        <v>2500</v>
      </c>
      <c r="D347" s="528" t="s">
        <v>1018</v>
      </c>
      <c r="E347" s="520">
        <f>SUMIFS('Accounting data'!$G$2:$G$37000,'Accounting data'!$J$2:$J$37000,"25*",'Accounting data'!$K$2:$K$37000,"63*")+SUMIFS('Accounting data'!$G$2:$G$37000,'Accounting data'!$J$2:$J$37000,"25*",'Accounting data'!$K$2:$K$37000,"64*")+SUMIFS('Accounting data'!$G$2:$G$37000,'Accounting data'!$J$2:$J$37000,"25*",'Accounting data'!$K$2:$K$37000,"65*")</f>
        <v>171263</v>
      </c>
    </row>
    <row r="348" spans="1:5" x14ac:dyDescent="0.2">
      <c r="A348" s="519" t="s">
        <v>987</v>
      </c>
      <c r="B348" s="519" t="s">
        <v>986</v>
      </c>
      <c r="C348" s="519">
        <v>2500</v>
      </c>
      <c r="D348" s="519">
        <v>6300</v>
      </c>
      <c r="E348" s="520">
        <f>SUMIFS('Accounting data'!$G$2:$G$37000,'Accounting data'!$H$2:$H$37000,"9999*",'Accounting data'!$J$2:$J$37000,"25*",'Accounting data'!$K$2:$K$37000,"63*")</f>
        <v>0</v>
      </c>
    </row>
    <row r="349" spans="1:5" x14ac:dyDescent="0.2">
      <c r="A349" s="519" t="s">
        <v>987</v>
      </c>
      <c r="B349" s="519" t="s">
        <v>986</v>
      </c>
      <c r="C349" s="519">
        <v>2500</v>
      </c>
      <c r="D349" s="519">
        <v>6400</v>
      </c>
      <c r="E349" s="520">
        <f>SUMIFS('Accounting data'!$G$2:$G$37000,'Accounting data'!$H$2:$H$37000,"9999*",'Accounting data'!$J$2:$J$37000,"25*",'Accounting data'!$K$2:$K$37000,"64*")</f>
        <v>0</v>
      </c>
    </row>
    <row r="350" spans="1:5" x14ac:dyDescent="0.2">
      <c r="A350" s="519" t="s">
        <v>987</v>
      </c>
      <c r="B350" s="519" t="s">
        <v>986</v>
      </c>
      <c r="C350" s="519">
        <v>2500</v>
      </c>
      <c r="D350" s="519">
        <v>6500</v>
      </c>
      <c r="E350" s="520">
        <f>SUMIFS('Accounting data'!$G$2:$G$37000,'Accounting data'!$H$2:$H$37000,"9999*",'Accounting data'!$J$2:$J$37000,"25*",'Accounting data'!$K$2:$K$37000,"65*")</f>
        <v>0</v>
      </c>
    </row>
    <row r="351" spans="1:5" x14ac:dyDescent="0.2">
      <c r="A351" s="519" t="s">
        <v>986</v>
      </c>
      <c r="B351" s="519" t="s">
        <v>988</v>
      </c>
      <c r="C351" s="519">
        <v>2500</v>
      </c>
      <c r="D351" s="528" t="s">
        <v>1018</v>
      </c>
      <c r="E351" s="520">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21" t="s">
        <v>987</v>
      </c>
      <c r="B352" s="519" t="s">
        <v>988</v>
      </c>
      <c r="C352" s="519">
        <v>2500</v>
      </c>
      <c r="D352" s="519">
        <v>6300</v>
      </c>
      <c r="E352" s="520">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21" t="s">
        <v>987</v>
      </c>
      <c r="B353" s="519" t="s">
        <v>988</v>
      </c>
      <c r="C353" s="519">
        <v>2500</v>
      </c>
      <c r="D353" s="519">
        <v>6400</v>
      </c>
      <c r="E353" s="520">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21" t="s">
        <v>987</v>
      </c>
      <c r="B354" s="519" t="s">
        <v>988</v>
      </c>
      <c r="C354" s="519">
        <v>2500</v>
      </c>
      <c r="D354" s="519">
        <v>6500</v>
      </c>
      <c r="E354" s="520">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73" spans="1:5" x14ac:dyDescent="0.2">
      <c r="A373" s="522" t="s">
        <v>1024</v>
      </c>
      <c r="B373" s="522"/>
      <c r="C373" s="522"/>
      <c r="D373" s="522"/>
      <c r="E373" s="524">
        <f>((E347-E348-E349-E350-E351)+(E352+E353+E354+E355+E356+E357+E358+E359+E360))-((E361-E362-E363)+(E364+E365+E366))-((E367-E368-E369)+(E370+E371+E372))</f>
        <v>171263</v>
      </c>
    </row>
    <row r="374" spans="1:5" x14ac:dyDescent="0.2">
      <c r="A374" s="519" t="s">
        <v>986</v>
      </c>
      <c r="B374" s="519" t="s">
        <v>986</v>
      </c>
      <c r="C374" s="519">
        <v>2900</v>
      </c>
      <c r="D374" s="528" t="s">
        <v>1018</v>
      </c>
      <c r="E374" s="520">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19" t="s">
        <v>987</v>
      </c>
      <c r="B375" s="519" t="s">
        <v>986</v>
      </c>
      <c r="C375" s="519">
        <v>2900</v>
      </c>
      <c r="D375" s="519">
        <v>6300</v>
      </c>
      <c r="E375" s="520">
        <f>SUMIFS('Accounting data'!$G$2:$G$37000,'Accounting data'!$H$2:$H$37000,"9999*",'Accounting data'!$J$2:$J$37000,"29*",'Accounting data'!$K$2:$K$37000,"63*")</f>
        <v>0</v>
      </c>
    </row>
    <row r="376" spans="1:5" x14ac:dyDescent="0.2">
      <c r="A376" s="519" t="s">
        <v>987</v>
      </c>
      <c r="B376" s="519" t="s">
        <v>986</v>
      </c>
      <c r="C376" s="519">
        <v>2900</v>
      </c>
      <c r="D376" s="519">
        <v>6400</v>
      </c>
      <c r="E376" s="520">
        <f>SUMIFS('Accounting data'!$G$2:$G$37000,'Accounting data'!$H$2:$H$37000,"9999*",'Accounting data'!$J$2:$J$37000,"29*",'Accounting data'!$K$2:$K$37000,"64*")</f>
        <v>0</v>
      </c>
    </row>
    <row r="377" spans="1:5" x14ac:dyDescent="0.2">
      <c r="A377" s="519" t="s">
        <v>987</v>
      </c>
      <c r="B377" s="519" t="s">
        <v>986</v>
      </c>
      <c r="C377" s="519">
        <v>2900</v>
      </c>
      <c r="D377" s="519">
        <v>6500</v>
      </c>
      <c r="E377" s="520">
        <f>SUMIFS('Accounting data'!$G$2:$G$37000,'Accounting data'!$H$2:$H$37000,"9999*",'Accounting data'!$J$2:$J$37000,"29*",'Accounting data'!$K$2:$K$37000,"65*")</f>
        <v>0</v>
      </c>
    </row>
    <row r="378" spans="1:5" x14ac:dyDescent="0.2">
      <c r="A378" s="519" t="s">
        <v>986</v>
      </c>
      <c r="B378" s="519" t="s">
        <v>988</v>
      </c>
      <c r="C378" s="519">
        <v>2900</v>
      </c>
      <c r="D378" s="528" t="s">
        <v>1018</v>
      </c>
      <c r="E378" s="520">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21" t="s">
        <v>987</v>
      </c>
      <c r="B379" s="519" t="s">
        <v>988</v>
      </c>
      <c r="C379" s="519">
        <v>2900</v>
      </c>
      <c r="D379" s="519">
        <v>6300</v>
      </c>
      <c r="E379" s="520">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21" t="s">
        <v>987</v>
      </c>
      <c r="B380" s="519" t="s">
        <v>988</v>
      </c>
      <c r="C380" s="519">
        <v>2900</v>
      </c>
      <c r="D380" s="519">
        <v>6400</v>
      </c>
      <c r="E380" s="520">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21" t="s">
        <v>987</v>
      </c>
      <c r="B381" s="519" t="s">
        <v>988</v>
      </c>
      <c r="C381" s="519">
        <v>2900</v>
      </c>
      <c r="D381" s="519">
        <v>6500</v>
      </c>
      <c r="E381" s="520">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400" spans="1:5" x14ac:dyDescent="0.2">
      <c r="A400" s="522" t="s">
        <v>1025</v>
      </c>
      <c r="B400" s="522"/>
      <c r="C400" s="522"/>
      <c r="D400" s="522"/>
      <c r="E400" s="524">
        <f>((E374-E375-E376-E377-E378)+(E379+E380+E381+E382+E383+E384+E385+E386+E387))-((E388-E389-E390)+(E391+E392+E393))-((E394-E395-E396)+(E397+E398+E399))</f>
        <v>0</v>
      </c>
    </row>
    <row r="401" spans="1:5" x14ac:dyDescent="0.2">
      <c r="A401" s="519" t="s">
        <v>986</v>
      </c>
      <c r="B401" s="519" t="s">
        <v>986</v>
      </c>
      <c r="C401" s="519">
        <v>2600</v>
      </c>
      <c r="D401" s="528" t="s">
        <v>1018</v>
      </c>
      <c r="E401" s="520">
        <f>SUMIFS('Accounting data'!$G$2:$G$37000,'Accounting data'!$J$2:$J$37000,"26*",'Accounting data'!$K$2:$K$37000,"63*")+SUMIFS('Accounting data'!$G$2:$G$37000,'Accounting data'!$J$2:$J$37000,"26*",'Accounting data'!$K$2:$K$37000,"64*")+SUMIFS('Accounting data'!$G$2:$G$37000,'Accounting data'!$J$2:$J$37000,"26*",'Accounting data'!$K$2:$K$37000,"65*")</f>
        <v>1282966</v>
      </c>
    </row>
    <row r="402" spans="1:5" x14ac:dyDescent="0.2">
      <c r="A402" s="519" t="s">
        <v>987</v>
      </c>
      <c r="B402" s="519" t="s">
        <v>986</v>
      </c>
      <c r="C402" s="519">
        <v>2600</v>
      </c>
      <c r="D402" s="519">
        <v>6300</v>
      </c>
      <c r="E402" s="520">
        <f>SUMIFS('Accounting data'!$G$2:$G$37000,'Accounting data'!$H$2:$H$37000,"9999*",'Accounting data'!$J$2:$J$37000,"26*",'Accounting data'!$K$2:$K$37000,"63*")</f>
        <v>0</v>
      </c>
    </row>
    <row r="403" spans="1:5" x14ac:dyDescent="0.2">
      <c r="A403" s="519" t="s">
        <v>987</v>
      </c>
      <c r="B403" s="519" t="s">
        <v>986</v>
      </c>
      <c r="C403" s="519">
        <v>2600</v>
      </c>
      <c r="D403" s="519">
        <v>6400</v>
      </c>
      <c r="E403" s="520">
        <f>SUMIFS('Accounting data'!$G$2:$G$37000,'Accounting data'!$H$2:$H$37000,"9999*",'Accounting data'!$J$2:$J$37000,"26*",'Accounting data'!$K$2:$K$37000,"64*")</f>
        <v>0</v>
      </c>
    </row>
    <row r="404" spans="1:5" x14ac:dyDescent="0.2">
      <c r="A404" s="519" t="s">
        <v>987</v>
      </c>
      <c r="B404" s="519" t="s">
        <v>986</v>
      </c>
      <c r="C404" s="519">
        <v>2600</v>
      </c>
      <c r="D404" s="519">
        <v>6500</v>
      </c>
      <c r="E404" s="520">
        <f>SUMIFS('Accounting data'!$G$2:$G$37000,'Accounting data'!$H$2:$H$37000,"9999*",'Accounting data'!$J$2:$J$37000,"26*",'Accounting data'!$K$2:$K$37000,"65*")</f>
        <v>0</v>
      </c>
    </row>
    <row r="405" spans="1:5" x14ac:dyDescent="0.2">
      <c r="A405" s="519" t="s">
        <v>986</v>
      </c>
      <c r="B405" s="519" t="s">
        <v>988</v>
      </c>
      <c r="C405" s="519">
        <v>2600</v>
      </c>
      <c r="D405" s="528" t="s">
        <v>1018</v>
      </c>
      <c r="E405" s="520">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21" t="s">
        <v>987</v>
      </c>
      <c r="B406" s="519" t="s">
        <v>988</v>
      </c>
      <c r="C406" s="519">
        <v>2600</v>
      </c>
      <c r="D406" s="519">
        <v>6300</v>
      </c>
      <c r="E406" s="520">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21" t="s">
        <v>987</v>
      </c>
      <c r="B407" s="519" t="s">
        <v>988</v>
      </c>
      <c r="C407" s="519">
        <v>2600</v>
      </c>
      <c r="D407" s="519">
        <v>6400</v>
      </c>
      <c r="E407" s="520">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21" t="s">
        <v>987</v>
      </c>
      <c r="B408" s="519" t="s">
        <v>988</v>
      </c>
      <c r="C408" s="519">
        <v>2600</v>
      </c>
      <c r="D408" s="519">
        <v>6500</v>
      </c>
      <c r="E408" s="520">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27" spans="1:5" x14ac:dyDescent="0.2">
      <c r="A427" s="522" t="s">
        <v>1026</v>
      </c>
      <c r="B427" s="522"/>
      <c r="C427" s="522"/>
      <c r="D427" s="522"/>
      <c r="E427" s="524">
        <f>((E401-E402-E403-E404-E405)+(E406+E407+E408+E409+E410+E411+E412+E413+E414))-((E415-E416-E417)+(E418+E419+E420))-((E421-E422-E423)+(E424+E425+E426))</f>
        <v>1282966</v>
      </c>
    </row>
    <row r="428" spans="1:5" x14ac:dyDescent="0.2">
      <c r="A428" s="519" t="s">
        <v>986</v>
      </c>
      <c r="B428" s="519" t="s">
        <v>986</v>
      </c>
      <c r="C428" s="519">
        <v>2700</v>
      </c>
      <c r="D428" s="528" t="s">
        <v>1018</v>
      </c>
      <c r="E428" s="520">
        <f>SUMIFS('Accounting data'!$G$2:$G$37000,'Accounting data'!$J$2:$J$37000,"27*",'Accounting data'!$K$2:$K$37000,"63*")+SUMIFS('Accounting data'!$G$2:$G$37000,'Accounting data'!$J$2:$J$37000,"27*",'Accounting data'!$K$2:$K$37000,"64*")+SUMIFS('Accounting data'!$G$2:$G$37000,'Accounting data'!$J$2:$J$37000,"27*",'Accounting data'!$K$2:$K$37000,"65*")</f>
        <v>9223</v>
      </c>
    </row>
    <row r="429" spans="1:5" x14ac:dyDescent="0.2">
      <c r="A429" s="519" t="s">
        <v>987</v>
      </c>
      <c r="B429" s="519" t="s">
        <v>986</v>
      </c>
      <c r="C429" s="519">
        <v>2700</v>
      </c>
      <c r="D429" s="519">
        <v>6300</v>
      </c>
      <c r="E429" s="520">
        <f>SUMIFS('Accounting data'!$G$2:$G$37000,'Accounting data'!$H$2:$H$37000,"9999*",'Accounting data'!$J$2:$J$37000,"27*",'Accounting data'!$K$2:$K$37000,"63*")</f>
        <v>0</v>
      </c>
    </row>
    <row r="430" spans="1:5" x14ac:dyDescent="0.2">
      <c r="A430" s="519" t="s">
        <v>987</v>
      </c>
      <c r="B430" s="519" t="s">
        <v>986</v>
      </c>
      <c r="C430" s="519">
        <v>2700</v>
      </c>
      <c r="D430" s="519">
        <v>6400</v>
      </c>
      <c r="E430" s="520">
        <f>SUMIFS('Accounting data'!$G$2:$G$37000,'Accounting data'!$H$2:$H$37000,"9999*",'Accounting data'!$J$2:$J$37000,"27*",'Accounting data'!$K$2:$K$37000,"64*")</f>
        <v>0</v>
      </c>
    </row>
    <row r="431" spans="1:5" x14ac:dyDescent="0.2">
      <c r="A431" s="519" t="s">
        <v>987</v>
      </c>
      <c r="B431" s="519" t="s">
        <v>986</v>
      </c>
      <c r="C431" s="519">
        <v>2700</v>
      </c>
      <c r="D431" s="519">
        <v>6500</v>
      </c>
      <c r="E431" s="520">
        <f>SUMIFS('Accounting data'!$G$2:$G$37000,'Accounting data'!$H$2:$H$37000,"9999*",'Accounting data'!$J$2:$J$37000,"27*",'Accounting data'!$K$2:$K$37000,"65*")</f>
        <v>0</v>
      </c>
    </row>
    <row r="432" spans="1:5" x14ac:dyDescent="0.2">
      <c r="A432" s="519" t="s">
        <v>986</v>
      </c>
      <c r="B432" s="519" t="s">
        <v>988</v>
      </c>
      <c r="C432" s="519">
        <v>2700</v>
      </c>
      <c r="D432" s="528" t="s">
        <v>1018</v>
      </c>
      <c r="E432" s="520">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21" t="s">
        <v>987</v>
      </c>
      <c r="B433" s="519" t="s">
        <v>988</v>
      </c>
      <c r="C433" s="519">
        <v>2700</v>
      </c>
      <c r="D433" s="519">
        <v>6300</v>
      </c>
      <c r="E433" s="520">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21" t="s">
        <v>987</v>
      </c>
      <c r="B434" s="519" t="s">
        <v>988</v>
      </c>
      <c r="C434" s="519">
        <v>2700</v>
      </c>
      <c r="D434" s="519">
        <v>6400</v>
      </c>
      <c r="E434" s="520">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21" t="s">
        <v>987</v>
      </c>
      <c r="B435" s="519" t="s">
        <v>988</v>
      </c>
      <c r="C435" s="519">
        <v>2700</v>
      </c>
      <c r="D435" s="519">
        <v>6500</v>
      </c>
      <c r="E435" s="520">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54" spans="1:5" x14ac:dyDescent="0.2">
      <c r="A454" s="522" t="s">
        <v>1027</v>
      </c>
      <c r="B454" s="522"/>
      <c r="C454" s="522"/>
      <c r="D454" s="522"/>
      <c r="E454" s="524">
        <f>((E428-E429-E430-E431-E432)+(E433+E434+E435+E436+E437+E438+E439+E440+E441))-((E442-E443-E444)+(E445+E446+E447))-((E448-E449-E450)+(E451+E452+E453))</f>
        <v>9223</v>
      </c>
    </row>
    <row r="455" spans="1:5" x14ac:dyDescent="0.2">
      <c r="A455" s="519" t="s">
        <v>986</v>
      </c>
      <c r="B455" s="519" t="s">
        <v>986</v>
      </c>
      <c r="C455" s="519">
        <v>3100</v>
      </c>
      <c r="D455" s="528" t="s">
        <v>1018</v>
      </c>
      <c r="E455" s="520">
        <f>SUMIFS('Accounting data'!$G$2:$G$37000,'Accounting data'!$J$2:$J$37000,"31*",'Accounting data'!$K$2:$K$37000,"63*")+SUMIFS('Accounting data'!$G$2:$G$37000,'Accounting data'!$J$2:$J$37000,"31*",'Accounting data'!$K$2:$K$37000,"64*")+SUMIFS('Accounting data'!$G$2:$G$37000,'Accounting data'!$J$2:$J$37000,"31*",'Accounting data'!$K$2:$K$37000,"65*")</f>
        <v>0</v>
      </c>
    </row>
    <row r="456" spans="1:5" x14ac:dyDescent="0.2">
      <c r="A456" s="519" t="s">
        <v>987</v>
      </c>
      <c r="B456" s="519" t="s">
        <v>986</v>
      </c>
      <c r="C456" s="519">
        <v>3100</v>
      </c>
      <c r="D456" s="519">
        <v>6300</v>
      </c>
      <c r="E456" s="520">
        <f>SUMIFS('Accounting data'!$G$2:$G$37000,'Accounting data'!$H$2:$H$37000,"9999*",'Accounting data'!$J$2:$J$37000,"31*",'Accounting data'!$K$2:$K$37000,"63*")</f>
        <v>0</v>
      </c>
    </row>
    <row r="457" spans="1:5" x14ac:dyDescent="0.2">
      <c r="A457" s="519" t="s">
        <v>987</v>
      </c>
      <c r="B457" s="519" t="s">
        <v>986</v>
      </c>
      <c r="C457" s="519">
        <v>3100</v>
      </c>
      <c r="D457" s="519">
        <v>6400</v>
      </c>
      <c r="E457" s="520">
        <f>SUMIFS('Accounting data'!$G$2:$G$37000,'Accounting data'!$H$2:$H$37000,"9999*",'Accounting data'!$J$2:$J$37000,"31*",'Accounting data'!$K$2:$K$37000,"64*")</f>
        <v>0</v>
      </c>
    </row>
    <row r="458" spans="1:5" x14ac:dyDescent="0.2">
      <c r="A458" s="519" t="s">
        <v>987</v>
      </c>
      <c r="B458" s="519" t="s">
        <v>986</v>
      </c>
      <c r="C458" s="519">
        <v>3100</v>
      </c>
      <c r="D458" s="519">
        <v>6500</v>
      </c>
      <c r="E458" s="520">
        <f>SUMIFS('Accounting data'!$G$2:$G$37000,'Accounting data'!$H$2:$H$37000,"9999*",'Accounting data'!$J$2:$J$37000,"31*",'Accounting data'!$K$2:$K$37000,"65*")</f>
        <v>0</v>
      </c>
    </row>
    <row r="459" spans="1:5" x14ac:dyDescent="0.2">
      <c r="A459" s="519" t="s">
        <v>986</v>
      </c>
      <c r="B459" s="519" t="s">
        <v>988</v>
      </c>
      <c r="C459" s="519">
        <v>3100</v>
      </c>
      <c r="D459" s="528" t="s">
        <v>1018</v>
      </c>
      <c r="E459" s="520">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21" t="s">
        <v>987</v>
      </c>
      <c r="B460" s="519" t="s">
        <v>988</v>
      </c>
      <c r="C460" s="519">
        <v>3100</v>
      </c>
      <c r="D460" s="519">
        <v>6300</v>
      </c>
      <c r="E460" s="520">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21" t="s">
        <v>987</v>
      </c>
      <c r="B461" s="519" t="s">
        <v>988</v>
      </c>
      <c r="C461" s="519">
        <v>3100</v>
      </c>
      <c r="D461" s="519">
        <v>6400</v>
      </c>
      <c r="E461" s="520">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21" t="s">
        <v>987</v>
      </c>
      <c r="B462" s="519" t="s">
        <v>988</v>
      </c>
      <c r="C462" s="519">
        <v>3100</v>
      </c>
      <c r="D462" s="519">
        <v>6500</v>
      </c>
      <c r="E462" s="520">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81" spans="1:5" x14ac:dyDescent="0.2">
      <c r="A481" s="522" t="s">
        <v>1028</v>
      </c>
      <c r="B481" s="522"/>
      <c r="C481" s="522"/>
      <c r="D481" s="522"/>
      <c r="E481" s="524">
        <f>((E455-E456-E457-E458-E459)+(E460+E461+E462+E463+E464+E465+E466+E467+E468))-((E469-E470-E471)+(E472+E473+E474))-((E475-E476-E477)+(E478+E479+E480))</f>
        <v>0</v>
      </c>
    </row>
    <row r="509" spans="1:5" x14ac:dyDescent="0.2">
      <c r="A509" s="519" t="s">
        <v>986</v>
      </c>
      <c r="B509" s="519" t="s">
        <v>986</v>
      </c>
      <c r="C509" s="519">
        <v>3400</v>
      </c>
      <c r="D509" s="528" t="s">
        <v>1018</v>
      </c>
      <c r="E509" s="520">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19" t="s">
        <v>987</v>
      </c>
      <c r="B510" s="519" t="s">
        <v>986</v>
      </c>
      <c r="C510" s="519">
        <v>3400</v>
      </c>
      <c r="D510" s="519">
        <v>6300</v>
      </c>
      <c r="E510" s="520">
        <f>SUMIFS('Accounting data'!$G$2:$G$37000,'Accounting data'!$H$2:$H$37000,"9999*",'Accounting data'!$J$2:$J$37000,"34*",'Accounting data'!$K$2:$K$37000,"63*")</f>
        <v>0</v>
      </c>
    </row>
    <row r="511" spans="1:5" x14ac:dyDescent="0.2">
      <c r="A511" s="519" t="s">
        <v>987</v>
      </c>
      <c r="B511" s="519" t="s">
        <v>986</v>
      </c>
      <c r="C511" s="519">
        <v>3400</v>
      </c>
      <c r="D511" s="519">
        <v>6400</v>
      </c>
      <c r="E511" s="520">
        <f>SUMIFS('Accounting data'!$G$2:$G$37000,'Accounting data'!$H$2:$H$37000,"9999*",'Accounting data'!$J$2:$J$37000,"34*",'Accounting data'!$K$2:$K$37000,"64*")</f>
        <v>0</v>
      </c>
    </row>
    <row r="512" spans="1:5" x14ac:dyDescent="0.2">
      <c r="A512" s="519" t="s">
        <v>987</v>
      </c>
      <c r="B512" s="519" t="s">
        <v>986</v>
      </c>
      <c r="C512" s="519">
        <v>3400</v>
      </c>
      <c r="D512" s="519">
        <v>6500</v>
      </c>
      <c r="E512" s="520">
        <f>SUMIFS('Accounting data'!$G$2:$G$37000,'Accounting data'!$H$2:$H$37000,"9999*",'Accounting data'!$J$2:$J$37000,"34*",'Accounting data'!$K$2:$K$37000,"65*")</f>
        <v>0</v>
      </c>
    </row>
    <row r="513" spans="1:5" x14ac:dyDescent="0.2">
      <c r="A513" s="519" t="s">
        <v>986</v>
      </c>
      <c r="B513" s="519" t="s">
        <v>988</v>
      </c>
      <c r="C513" s="519">
        <v>3400</v>
      </c>
      <c r="D513" s="528" t="s">
        <v>1018</v>
      </c>
      <c r="E513" s="520">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21" t="s">
        <v>987</v>
      </c>
      <c r="B514" s="519" t="s">
        <v>988</v>
      </c>
      <c r="C514" s="519">
        <v>3400</v>
      </c>
      <c r="D514" s="519">
        <v>6300</v>
      </c>
      <c r="E514" s="520">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21" t="s">
        <v>987</v>
      </c>
      <c r="B515" s="519" t="s">
        <v>988</v>
      </c>
      <c r="C515" s="519">
        <v>3400</v>
      </c>
      <c r="D515" s="519">
        <v>6400</v>
      </c>
      <c r="E515" s="520">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21" t="s">
        <v>987</v>
      </c>
      <c r="B516" s="519" t="s">
        <v>988</v>
      </c>
      <c r="C516" s="519">
        <v>3400</v>
      </c>
      <c r="D516" s="519">
        <v>6500</v>
      </c>
      <c r="E516" s="520">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35" spans="1:5" x14ac:dyDescent="0.2">
      <c r="A535" s="522" t="s">
        <v>1029</v>
      </c>
      <c r="B535" s="522"/>
      <c r="C535" s="522"/>
      <c r="D535" s="522"/>
      <c r="E535" s="524">
        <f>((E509-E510-E511-E512-E513)+(E514+E515+E516+E517+E518+E519+E520+E521+E522))-((E523-E524-E525)+(E526+E527+E528))-((E529-E530-E531)+(E532+E533+E534))</f>
        <v>0</v>
      </c>
    </row>
    <row r="536" spans="1:5" x14ac:dyDescent="0.2">
      <c r="A536" s="519" t="s">
        <v>986</v>
      </c>
      <c r="B536" s="519" t="s">
        <v>986</v>
      </c>
      <c r="C536" s="519">
        <v>4000</v>
      </c>
      <c r="D536" s="528" t="s">
        <v>1018</v>
      </c>
      <c r="E536" s="520">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19" t="s">
        <v>987</v>
      </c>
      <c r="B537" s="519" t="s">
        <v>986</v>
      </c>
      <c r="C537" s="519">
        <v>4000</v>
      </c>
      <c r="D537" s="519">
        <v>6300</v>
      </c>
      <c r="E537" s="520">
        <f>SUMIFS('Accounting data'!$G$2:$G$37000,'Accounting data'!$H$2:$H$37000,"9999*",'Accounting data'!$J$2:$J$37000,"4*",'Accounting data'!$K$2:$K$37000,"63*")</f>
        <v>0</v>
      </c>
    </row>
    <row r="538" spans="1:5" x14ac:dyDescent="0.2">
      <c r="A538" s="519" t="s">
        <v>987</v>
      </c>
      <c r="B538" s="519" t="s">
        <v>986</v>
      </c>
      <c r="C538" s="519">
        <v>4000</v>
      </c>
      <c r="D538" s="519">
        <v>6400</v>
      </c>
      <c r="E538" s="520">
        <f>SUMIFS('Accounting data'!$G$2:$G$37000,'Accounting data'!$H$2:$H$37000,"9999*",'Accounting data'!$J$2:$J$37000,"4*",'Accounting data'!$K$2:$K$37000,"64*")</f>
        <v>0</v>
      </c>
    </row>
    <row r="539" spans="1:5" x14ac:dyDescent="0.2">
      <c r="A539" s="519" t="s">
        <v>987</v>
      </c>
      <c r="B539" s="519" t="s">
        <v>986</v>
      </c>
      <c r="C539" s="519">
        <v>4000</v>
      </c>
      <c r="D539" s="519">
        <v>6500</v>
      </c>
      <c r="E539" s="520">
        <f>SUMIFS('Accounting data'!$G$2:$G$37000,'Accounting data'!$H$2:$H$37000,"9999*",'Accounting data'!$J$2:$J$37000,"4*",'Accounting data'!$K$2:$K$37000,"65*")</f>
        <v>0</v>
      </c>
    </row>
    <row r="540" spans="1:5" x14ac:dyDescent="0.2">
      <c r="A540" s="519" t="s">
        <v>986</v>
      </c>
      <c r="B540" s="519" t="s">
        <v>988</v>
      </c>
      <c r="C540" s="519">
        <v>4000</v>
      </c>
      <c r="D540" s="528" t="s">
        <v>1018</v>
      </c>
      <c r="E540" s="520">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21" t="s">
        <v>987</v>
      </c>
      <c r="B541" s="519" t="s">
        <v>988</v>
      </c>
      <c r="C541" s="519">
        <v>4000</v>
      </c>
      <c r="D541" s="519">
        <v>6300</v>
      </c>
      <c r="E541" s="520">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21" t="s">
        <v>987</v>
      </c>
      <c r="B542" s="519" t="s">
        <v>988</v>
      </c>
      <c r="C542" s="519">
        <v>4000</v>
      </c>
      <c r="D542" s="519">
        <v>6400</v>
      </c>
      <c r="E542" s="520">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21" t="s">
        <v>987</v>
      </c>
      <c r="B543" s="519" t="s">
        <v>988</v>
      </c>
      <c r="C543" s="519">
        <v>4000</v>
      </c>
      <c r="D543" s="519">
        <v>6500</v>
      </c>
      <c r="E543" s="520">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62" spans="1:5" x14ac:dyDescent="0.2">
      <c r="A562" s="522" t="s">
        <v>1030</v>
      </c>
      <c r="B562" s="522"/>
      <c r="C562" s="522"/>
      <c r="D562" s="522"/>
      <c r="E562" s="524">
        <f>((E536-E537-E538-E539-E540)+(E541+E542+E543+E544+E545+E546+E547+E548+E549))-((E550-E551-E552)+(E553+E554+E555))-((E556-E557-E558)+(E559+E560+E561))</f>
        <v>0</v>
      </c>
    </row>
    <row r="563" spans="1:5" x14ac:dyDescent="0.2">
      <c r="A563" s="525" t="s">
        <v>1031</v>
      </c>
      <c r="B563" s="525"/>
      <c r="C563" s="525"/>
      <c r="D563" s="525"/>
      <c r="E563" s="529">
        <f>E238+E265+E292+E319+E346+E373+E400+E427+E454+E481+E508+E535</f>
        <v>1607316</v>
      </c>
    </row>
    <row r="564" spans="1:5" ht="15" x14ac:dyDescent="0.25">
      <c r="A564" s="519" t="s">
        <v>1002</v>
      </c>
      <c r="B564" s="519" t="s">
        <v>986</v>
      </c>
      <c r="C564" s="519">
        <v>1000</v>
      </c>
      <c r="D564" s="519">
        <v>6300</v>
      </c>
      <c r="E564" s="527">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19" t="s">
        <v>1002</v>
      </c>
      <c r="B565" s="519" t="s">
        <v>986</v>
      </c>
      <c r="C565" s="519">
        <v>2000</v>
      </c>
      <c r="D565" s="519">
        <v>6300</v>
      </c>
      <c r="E565" s="527">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4457</v>
      </c>
    </row>
    <row r="566" spans="1:5" ht="15" x14ac:dyDescent="0.25">
      <c r="A566" s="519" t="s">
        <v>1002</v>
      </c>
      <c r="B566" s="519" t="s">
        <v>986</v>
      </c>
      <c r="C566" s="519">
        <v>3000</v>
      </c>
      <c r="D566" s="519">
        <v>6300</v>
      </c>
      <c r="E566" s="527">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19" t="s">
        <v>1002</v>
      </c>
      <c r="B567" s="521">
        <v>700</v>
      </c>
      <c r="C567" s="519">
        <v>1000</v>
      </c>
      <c r="D567" s="519">
        <v>6300</v>
      </c>
      <c r="E567" s="527">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19" t="s">
        <v>1002</v>
      </c>
      <c r="B568" s="521">
        <v>800</v>
      </c>
      <c r="C568" s="519">
        <v>1000</v>
      </c>
      <c r="D568" s="519">
        <v>6300</v>
      </c>
      <c r="E568" s="527">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19" t="s">
        <v>1002</v>
      </c>
      <c r="B569" s="521">
        <v>900</v>
      </c>
      <c r="C569" s="519">
        <v>1000</v>
      </c>
      <c r="D569" s="519">
        <v>6300</v>
      </c>
      <c r="E569" s="527">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19" t="s">
        <v>1002</v>
      </c>
      <c r="B570" s="521">
        <v>700</v>
      </c>
      <c r="C570" s="519">
        <v>2000</v>
      </c>
      <c r="D570" s="519">
        <v>6300</v>
      </c>
      <c r="E570" s="520">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19" t="s">
        <v>1002</v>
      </c>
      <c r="B571" s="521">
        <v>800</v>
      </c>
      <c r="C571" s="519">
        <v>2000</v>
      </c>
      <c r="D571" s="519">
        <v>6300</v>
      </c>
      <c r="E571" s="520">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19" t="s">
        <v>1002</v>
      </c>
      <c r="B572" s="521">
        <v>900</v>
      </c>
      <c r="C572" s="519">
        <v>2000</v>
      </c>
      <c r="D572" s="519">
        <v>6300</v>
      </c>
      <c r="E572" s="520">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19" t="s">
        <v>1002</v>
      </c>
      <c r="B573" s="521">
        <v>700</v>
      </c>
      <c r="C573" s="519">
        <v>3000</v>
      </c>
      <c r="D573" s="519">
        <v>6300</v>
      </c>
      <c r="E573" s="520">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19" t="s">
        <v>1002</v>
      </c>
      <c r="B574" s="521">
        <v>800</v>
      </c>
      <c r="C574" s="519">
        <v>3000</v>
      </c>
      <c r="D574" s="519">
        <v>6300</v>
      </c>
      <c r="E574" s="520">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19" t="s">
        <v>1002</v>
      </c>
      <c r="B575" s="521">
        <v>900</v>
      </c>
      <c r="C575" s="519">
        <v>3000</v>
      </c>
      <c r="D575" s="519">
        <v>6300</v>
      </c>
      <c r="E575" s="520">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22" t="s">
        <v>1032</v>
      </c>
      <c r="B576" s="522"/>
      <c r="C576" s="522"/>
      <c r="D576" s="522"/>
      <c r="E576" s="524">
        <f>(E564+E565+E566)-(E567+E568+E569+E570+E571+E572+E573+E574+E575)</f>
        <v>4457</v>
      </c>
    </row>
    <row r="577" spans="1:5" x14ac:dyDescent="0.2">
      <c r="A577" s="519" t="s">
        <v>1002</v>
      </c>
      <c r="B577" s="519" t="s">
        <v>986</v>
      </c>
      <c r="C577" s="519">
        <v>1000</v>
      </c>
      <c r="D577" s="519">
        <v>6400</v>
      </c>
      <c r="E577" s="520">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19" t="s">
        <v>1002</v>
      </c>
      <c r="B578" s="519" t="s">
        <v>986</v>
      </c>
      <c r="C578" s="519">
        <v>2000</v>
      </c>
      <c r="D578" s="519">
        <v>6400</v>
      </c>
      <c r="E578" s="520">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19" t="s">
        <v>1002</v>
      </c>
      <c r="B579" s="519" t="s">
        <v>986</v>
      </c>
      <c r="C579" s="519">
        <v>3000</v>
      </c>
      <c r="D579" s="519">
        <v>6400</v>
      </c>
      <c r="E579" s="520">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19" t="s">
        <v>1002</v>
      </c>
      <c r="B580" s="521">
        <v>700</v>
      </c>
      <c r="C580" s="519">
        <v>1000</v>
      </c>
      <c r="D580" s="519">
        <v>6400</v>
      </c>
      <c r="E580" s="520">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19" t="s">
        <v>1002</v>
      </c>
      <c r="B581" s="521">
        <v>800</v>
      </c>
      <c r="C581" s="519">
        <v>1000</v>
      </c>
      <c r="D581" s="519">
        <v>6400</v>
      </c>
      <c r="E581" s="520">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19" t="s">
        <v>1002</v>
      </c>
      <c r="B582" s="521">
        <v>900</v>
      </c>
      <c r="C582" s="519">
        <v>1000</v>
      </c>
      <c r="D582" s="519">
        <v>6400</v>
      </c>
      <c r="E582" s="520">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19" t="s">
        <v>1002</v>
      </c>
      <c r="B583" s="521">
        <v>700</v>
      </c>
      <c r="C583" s="519">
        <v>2000</v>
      </c>
      <c r="D583" s="519">
        <v>6400</v>
      </c>
      <c r="E583" s="520">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19" t="s">
        <v>1002</v>
      </c>
      <c r="B584" s="521">
        <v>800</v>
      </c>
      <c r="C584" s="519">
        <v>2000</v>
      </c>
      <c r="D584" s="519">
        <v>6400</v>
      </c>
      <c r="E584" s="520">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19" t="s">
        <v>1002</v>
      </c>
      <c r="B585" s="521">
        <v>900</v>
      </c>
      <c r="C585" s="519">
        <v>2000</v>
      </c>
      <c r="D585" s="519">
        <v>6400</v>
      </c>
      <c r="E585" s="520">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19" t="s">
        <v>1002</v>
      </c>
      <c r="B586" s="521">
        <v>700</v>
      </c>
      <c r="C586" s="519">
        <v>3000</v>
      </c>
      <c r="D586" s="519">
        <v>6400</v>
      </c>
      <c r="E586" s="520">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19" t="s">
        <v>1002</v>
      </c>
      <c r="B587" s="521">
        <v>800</v>
      </c>
      <c r="C587" s="519">
        <v>3000</v>
      </c>
      <c r="D587" s="519">
        <v>6400</v>
      </c>
      <c r="E587" s="520">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19" t="s">
        <v>1002</v>
      </c>
      <c r="B588" s="521">
        <v>900</v>
      </c>
      <c r="C588" s="519">
        <v>3000</v>
      </c>
      <c r="D588" s="519">
        <v>6400</v>
      </c>
      <c r="E588" s="520">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22" t="s">
        <v>1033</v>
      </c>
      <c r="B589" s="522"/>
      <c r="C589" s="522"/>
      <c r="D589" s="522"/>
      <c r="E589" s="524">
        <f>(E577+E578+E579)-(E580+E581+E582+E583+E584+E585+E586+E587+E588)</f>
        <v>0</v>
      </c>
    </row>
    <row r="590" spans="1:5" x14ac:dyDescent="0.2">
      <c r="A590" s="519" t="s">
        <v>1002</v>
      </c>
      <c r="B590" s="519" t="s">
        <v>986</v>
      </c>
      <c r="C590" s="519">
        <v>1000</v>
      </c>
      <c r="D590" s="519">
        <v>6500</v>
      </c>
      <c r="E590" s="520">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19" t="s">
        <v>1002</v>
      </c>
      <c r="B591" s="519" t="s">
        <v>986</v>
      </c>
      <c r="C591" s="519">
        <v>2000</v>
      </c>
      <c r="D591" s="519">
        <v>6500</v>
      </c>
      <c r="E591" s="520">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19" t="s">
        <v>1002</v>
      </c>
      <c r="B592" s="519" t="s">
        <v>986</v>
      </c>
      <c r="C592" s="519">
        <v>3000</v>
      </c>
      <c r="D592" s="519">
        <v>6500</v>
      </c>
      <c r="E592" s="520">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19" t="s">
        <v>1002</v>
      </c>
      <c r="B593" s="521">
        <v>700</v>
      </c>
      <c r="C593" s="519">
        <v>1000</v>
      </c>
      <c r="D593" s="519">
        <v>6500</v>
      </c>
      <c r="E593" s="520">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19" t="s">
        <v>1002</v>
      </c>
      <c r="B594" s="521">
        <v>800</v>
      </c>
      <c r="C594" s="519">
        <v>1000</v>
      </c>
      <c r="D594" s="519">
        <v>6500</v>
      </c>
      <c r="E594" s="520">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19" t="s">
        <v>1002</v>
      </c>
      <c r="B595" s="521">
        <v>900</v>
      </c>
      <c r="C595" s="519">
        <v>1000</v>
      </c>
      <c r="D595" s="519">
        <v>6500</v>
      </c>
      <c r="E595" s="520">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19" t="s">
        <v>1002</v>
      </c>
      <c r="B596" s="521">
        <v>700</v>
      </c>
      <c r="C596" s="519">
        <v>2000</v>
      </c>
      <c r="D596" s="519">
        <v>6500</v>
      </c>
      <c r="E596" s="520">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19" t="s">
        <v>1002</v>
      </c>
      <c r="B597" s="521">
        <v>800</v>
      </c>
      <c r="C597" s="519">
        <v>2000</v>
      </c>
      <c r="D597" s="519">
        <v>6500</v>
      </c>
      <c r="E597" s="520">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19" t="s">
        <v>1002</v>
      </c>
      <c r="B598" s="521">
        <v>900</v>
      </c>
      <c r="C598" s="519">
        <v>2000</v>
      </c>
      <c r="D598" s="519">
        <v>6500</v>
      </c>
      <c r="E598" s="520">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19" t="s">
        <v>1002</v>
      </c>
      <c r="B599" s="521">
        <v>700</v>
      </c>
      <c r="C599" s="519">
        <v>3000</v>
      </c>
      <c r="D599" s="519">
        <v>6500</v>
      </c>
      <c r="E599" s="520">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19" t="s">
        <v>1002</v>
      </c>
      <c r="B600" s="521">
        <v>800</v>
      </c>
      <c r="C600" s="519">
        <v>3000</v>
      </c>
      <c r="D600" s="519">
        <v>6500</v>
      </c>
      <c r="E600" s="520">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19" t="s">
        <v>1002</v>
      </c>
      <c r="B601" s="521">
        <v>900</v>
      </c>
      <c r="C601" s="519">
        <v>3000</v>
      </c>
      <c r="D601" s="519">
        <v>6500</v>
      </c>
      <c r="E601" s="520">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22" t="s">
        <v>1034</v>
      </c>
      <c r="B602" s="522"/>
      <c r="C602" s="522"/>
      <c r="D602" s="522"/>
      <c r="E602" s="524">
        <f>(E590+E591+E592)-(E593+E594+E595+E596+E597+E598+E599+E600+E601)</f>
        <v>0</v>
      </c>
    </row>
    <row r="629" spans="1:5" x14ac:dyDescent="0.2">
      <c r="A629" s="525" t="s">
        <v>1035</v>
      </c>
      <c r="B629" s="525"/>
      <c r="C629" s="525"/>
      <c r="D629" s="525"/>
      <c r="E629" s="529">
        <f>(E576+E589+E602)-(E615+E628)</f>
        <v>4457</v>
      </c>
    </row>
    <row r="630" spans="1:5" x14ac:dyDescent="0.2">
      <c r="A630" s="519" t="s">
        <v>986</v>
      </c>
      <c r="B630" s="519" t="s">
        <v>986</v>
      </c>
      <c r="C630" s="519">
        <v>1000</v>
      </c>
      <c r="D630" s="519">
        <v>6600</v>
      </c>
      <c r="E630" s="520">
        <f>SUMIFS('Accounting data'!$G$2:$G$37000,'Accounting data'!$J$2:$J$37000,"1*",'Accounting data'!$K$2:$K$37000,"66*")</f>
        <v>101225</v>
      </c>
    </row>
    <row r="631" spans="1:5" x14ac:dyDescent="0.2">
      <c r="A631" s="519" t="s">
        <v>987</v>
      </c>
      <c r="B631" s="519" t="s">
        <v>986</v>
      </c>
      <c r="C631" s="519">
        <v>1000</v>
      </c>
      <c r="D631" s="519">
        <v>6600</v>
      </c>
      <c r="E631" s="520">
        <f>SUMIFS('Accounting data'!$G$2:$G$37000,'Accounting data'!$H$2:$H$37000,"9999*",'Accounting data'!$J$2:$J$37000,"1*",'Accounting data'!$K$2:$K$37000,"66*")</f>
        <v>0</v>
      </c>
    </row>
    <row r="632" spans="1:5" x14ac:dyDescent="0.2">
      <c r="A632" s="519" t="s">
        <v>986</v>
      </c>
      <c r="B632" s="519" t="s">
        <v>988</v>
      </c>
      <c r="C632" s="519">
        <v>1000</v>
      </c>
      <c r="D632" s="519">
        <v>6600</v>
      </c>
      <c r="E632" s="520">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21" t="s">
        <v>987</v>
      </c>
      <c r="B633" s="519" t="s">
        <v>988</v>
      </c>
      <c r="C633" s="519">
        <v>1000</v>
      </c>
      <c r="D633" s="519">
        <v>6600</v>
      </c>
      <c r="E633" s="520">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19"/>
      <c r="B634" s="519"/>
      <c r="C634" s="519"/>
      <c r="D634" s="519"/>
      <c r="E634" s="520"/>
    </row>
    <row r="635" spans="1:5" x14ac:dyDescent="0.2">
      <c r="A635" s="519"/>
      <c r="B635" s="519"/>
      <c r="C635" s="519"/>
      <c r="D635" s="519"/>
      <c r="E635" s="520"/>
    </row>
    <row r="636" spans="1:5" x14ac:dyDescent="0.2">
      <c r="A636" s="522" t="s">
        <v>1036</v>
      </c>
      <c r="B636" s="522"/>
      <c r="C636" s="522"/>
      <c r="D636" s="522"/>
      <c r="E636" s="524">
        <f>(E630-E631-E632)+(E633+E634+E635)</f>
        <v>101225</v>
      </c>
    </row>
    <row r="637" spans="1:5" x14ac:dyDescent="0.2">
      <c r="A637" s="519" t="s">
        <v>986</v>
      </c>
      <c r="B637" s="519" t="s">
        <v>986</v>
      </c>
      <c r="C637" s="519">
        <v>2100</v>
      </c>
      <c r="D637" s="519">
        <v>6600</v>
      </c>
      <c r="E637" s="520">
        <f>SUMIFS('Accounting data'!$G$2:$G$37000,'Accounting data'!$J$2:$J$37000,"21*",'Accounting data'!$K$2:$K$37000,"66*")</f>
        <v>8184</v>
      </c>
    </row>
    <row r="638" spans="1:5" x14ac:dyDescent="0.2">
      <c r="A638" s="519" t="s">
        <v>987</v>
      </c>
      <c r="B638" s="519" t="s">
        <v>986</v>
      </c>
      <c r="C638" s="519">
        <v>2100</v>
      </c>
      <c r="D638" s="519">
        <v>6600</v>
      </c>
      <c r="E638" s="520">
        <f>SUMIFS('Accounting data'!$G$2:$G$37000,'Accounting data'!$H$2:$H$37000,"9999*",'Accounting data'!$J$2:$J$37000,"21*",'Accounting data'!$K$2:$K$37000,"66*")</f>
        <v>0</v>
      </c>
    </row>
    <row r="639" spans="1:5" x14ac:dyDescent="0.2">
      <c r="A639" s="519" t="s">
        <v>986</v>
      </c>
      <c r="B639" s="519" t="s">
        <v>988</v>
      </c>
      <c r="C639" s="519">
        <v>2100</v>
      </c>
      <c r="D639" s="519">
        <v>6600</v>
      </c>
      <c r="E639" s="520">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21" t="s">
        <v>987</v>
      </c>
      <c r="B640" s="519" t="s">
        <v>988</v>
      </c>
      <c r="C640" s="519">
        <v>2100</v>
      </c>
      <c r="D640" s="519">
        <v>6600</v>
      </c>
      <c r="E640" s="520">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3" spans="1:5" x14ac:dyDescent="0.2">
      <c r="A643" s="522" t="s">
        <v>1037</v>
      </c>
      <c r="B643" s="522"/>
      <c r="C643" s="522"/>
      <c r="D643" s="522"/>
      <c r="E643" s="524">
        <f>(E637-E638-E639)+(E640+E641+E642)</f>
        <v>8184</v>
      </c>
    </row>
    <row r="644" spans="1:5" x14ac:dyDescent="0.2">
      <c r="A644" s="519" t="s">
        <v>986</v>
      </c>
      <c r="B644" s="519" t="s">
        <v>986</v>
      </c>
      <c r="C644" s="519">
        <v>2200</v>
      </c>
      <c r="D644" s="519">
        <v>6600</v>
      </c>
      <c r="E644" s="520">
        <f>SUMIFS('Accounting data'!$G$2:$G$37000,'Accounting data'!$J$2:$J$37000,"22*",'Accounting data'!$K$2:$K$37000,"66*")</f>
        <v>2494</v>
      </c>
    </row>
    <row r="645" spans="1:5" x14ac:dyDescent="0.2">
      <c r="A645" s="519" t="s">
        <v>987</v>
      </c>
      <c r="B645" s="519" t="s">
        <v>986</v>
      </c>
      <c r="C645" s="519">
        <v>2200</v>
      </c>
      <c r="D645" s="519">
        <v>6600</v>
      </c>
      <c r="E645" s="520">
        <f>SUMIFS('Accounting data'!$G$2:$G$37000,'Accounting data'!$H$2:$H$37000,"9999*",'Accounting data'!$J$2:$J$37000,"22*",'Accounting data'!$K$2:$K$37000,"66*")</f>
        <v>0</v>
      </c>
    </row>
    <row r="646" spans="1:5" x14ac:dyDescent="0.2">
      <c r="A646" s="519" t="s">
        <v>986</v>
      </c>
      <c r="B646" s="519" t="s">
        <v>988</v>
      </c>
      <c r="C646" s="519">
        <v>2200</v>
      </c>
      <c r="D646" s="519">
        <v>6600</v>
      </c>
      <c r="E646" s="520">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21" t="s">
        <v>987</v>
      </c>
      <c r="B647" s="519" t="s">
        <v>988</v>
      </c>
      <c r="C647" s="519">
        <v>2200</v>
      </c>
      <c r="D647" s="519">
        <v>6600</v>
      </c>
      <c r="E647" s="520">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19"/>
      <c r="B648" s="519"/>
      <c r="C648" s="519"/>
      <c r="D648" s="519"/>
      <c r="E648" s="520"/>
    </row>
    <row r="649" spans="1:5" x14ac:dyDescent="0.2">
      <c r="A649" s="519"/>
      <c r="B649" s="519"/>
      <c r="C649" s="519"/>
      <c r="D649" s="519"/>
      <c r="E649" s="520"/>
    </row>
    <row r="650" spans="1:5" x14ac:dyDescent="0.2">
      <c r="A650" s="522" t="s">
        <v>1038</v>
      </c>
      <c r="B650" s="522"/>
      <c r="C650" s="522"/>
      <c r="D650" s="522"/>
      <c r="E650" s="524">
        <f>(E644-E645-E646)+(E647+E648+E649)</f>
        <v>2494</v>
      </c>
    </row>
    <row r="651" spans="1:5" x14ac:dyDescent="0.2">
      <c r="A651" s="519" t="s">
        <v>986</v>
      </c>
      <c r="B651" s="519" t="s">
        <v>986</v>
      </c>
      <c r="C651" s="519">
        <v>2300</v>
      </c>
      <c r="D651" s="519">
        <v>6600</v>
      </c>
      <c r="E651" s="520">
        <f>SUMIFS('Accounting data'!$G$2:$G$37000,'Accounting data'!$J$2:$J$37000,"23*",'Accounting data'!$K$2:$K$37000,"66*")</f>
        <v>224</v>
      </c>
    </row>
    <row r="652" spans="1:5" x14ac:dyDescent="0.2">
      <c r="A652" s="519" t="s">
        <v>987</v>
      </c>
      <c r="B652" s="519" t="s">
        <v>986</v>
      </c>
      <c r="C652" s="519">
        <v>2300</v>
      </c>
      <c r="D652" s="519">
        <v>6600</v>
      </c>
      <c r="E652" s="520">
        <f>SUMIFS('Accounting data'!$G$2:$G$37000,'Accounting data'!$H$2:$H$37000,"9999*",'Accounting data'!$J$2:$J$37000,"23*",'Accounting data'!$K$2:$K$37000,"66*")</f>
        <v>0</v>
      </c>
    </row>
    <row r="653" spans="1:5" x14ac:dyDescent="0.2">
      <c r="A653" s="519" t="s">
        <v>986</v>
      </c>
      <c r="B653" s="519" t="s">
        <v>988</v>
      </c>
      <c r="C653" s="519">
        <v>2300</v>
      </c>
      <c r="D653" s="519">
        <v>6600</v>
      </c>
      <c r="E653" s="520">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21" t="s">
        <v>987</v>
      </c>
      <c r="B654" s="519" t="s">
        <v>988</v>
      </c>
      <c r="C654" s="519">
        <v>2300</v>
      </c>
      <c r="D654" s="519">
        <v>6600</v>
      </c>
      <c r="E654" s="520">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7" spans="1:5" x14ac:dyDescent="0.2">
      <c r="A657" s="522" t="s">
        <v>1039</v>
      </c>
      <c r="B657" s="522"/>
      <c r="C657" s="522"/>
      <c r="D657" s="522"/>
      <c r="E657" s="524">
        <f>(E651-E652-E653)+(E654+E655+E656)</f>
        <v>224</v>
      </c>
    </row>
    <row r="658" spans="1:5" x14ac:dyDescent="0.2">
      <c r="A658" s="519" t="s">
        <v>986</v>
      </c>
      <c r="B658" s="519" t="s">
        <v>986</v>
      </c>
      <c r="C658" s="519">
        <v>2400</v>
      </c>
      <c r="D658" s="519">
        <v>6600</v>
      </c>
      <c r="E658" s="520">
        <f>SUMIFS('Accounting data'!$G$2:$G$37000,'Accounting data'!$J$2:$J$37000,"24*",'Accounting data'!$K$2:$K$37000,"66*")</f>
        <v>2734</v>
      </c>
    </row>
    <row r="659" spans="1:5" x14ac:dyDescent="0.2">
      <c r="A659" s="519" t="s">
        <v>987</v>
      </c>
      <c r="B659" s="519" t="s">
        <v>986</v>
      </c>
      <c r="C659" s="519">
        <v>2400</v>
      </c>
      <c r="D659" s="519">
        <v>6600</v>
      </c>
      <c r="E659" s="520">
        <f>SUMIFS('Accounting data'!$G$2:$G$37000,'Accounting data'!$H$2:$H$37000,"9999*",'Accounting data'!$J$2:$J$37000,"24*",'Accounting data'!$K$2:$K$37000,"66*")</f>
        <v>0</v>
      </c>
    </row>
    <row r="660" spans="1:5" x14ac:dyDescent="0.2">
      <c r="A660" s="519" t="s">
        <v>986</v>
      </c>
      <c r="B660" s="519" t="s">
        <v>988</v>
      </c>
      <c r="C660" s="519">
        <v>2400</v>
      </c>
      <c r="D660" s="519">
        <v>6600</v>
      </c>
      <c r="E660" s="520">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21" t="s">
        <v>987</v>
      </c>
      <c r="B661" s="519" t="s">
        <v>988</v>
      </c>
      <c r="C661" s="519">
        <v>2400</v>
      </c>
      <c r="D661" s="519">
        <v>6600</v>
      </c>
      <c r="E661" s="520">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19"/>
      <c r="B662" s="519"/>
      <c r="C662" s="519"/>
      <c r="D662" s="519"/>
      <c r="E662" s="520"/>
    </row>
    <row r="663" spans="1:5" x14ac:dyDescent="0.2">
      <c r="A663" s="519"/>
      <c r="B663" s="519"/>
      <c r="C663" s="519"/>
      <c r="D663" s="519"/>
      <c r="E663" s="520"/>
    </row>
    <row r="664" spans="1:5" x14ac:dyDescent="0.2">
      <c r="A664" s="522" t="s">
        <v>1040</v>
      </c>
      <c r="B664" s="522"/>
      <c r="C664" s="522"/>
      <c r="D664" s="522"/>
      <c r="E664" s="524">
        <f>(E658-E659-E660)+(E661+E662+E663)</f>
        <v>2734</v>
      </c>
    </row>
    <row r="665" spans="1:5" x14ac:dyDescent="0.2">
      <c r="A665" s="519" t="s">
        <v>986</v>
      </c>
      <c r="B665" s="519" t="s">
        <v>986</v>
      </c>
      <c r="C665" s="519">
        <v>2500</v>
      </c>
      <c r="D665" s="519">
        <v>6600</v>
      </c>
      <c r="E665" s="520">
        <f>SUMIFS('Accounting data'!$G$2:$G$37000,'Accounting data'!$J$2:$J$37000,"25*",'Accounting data'!$K$2:$K$37000,"66*")</f>
        <v>10098</v>
      </c>
    </row>
    <row r="666" spans="1:5" x14ac:dyDescent="0.2">
      <c r="A666" s="519" t="s">
        <v>987</v>
      </c>
      <c r="B666" s="519" t="s">
        <v>986</v>
      </c>
      <c r="C666" s="519">
        <v>2500</v>
      </c>
      <c r="D666" s="519">
        <v>6600</v>
      </c>
      <c r="E666" s="520">
        <f>SUMIFS('Accounting data'!$G$2:$G$37000,'Accounting data'!$H$2:$H$37000,"9999*",'Accounting data'!$J$2:$J$37000,"25*",'Accounting data'!$K$2:$K$37000,"66*")</f>
        <v>0</v>
      </c>
    </row>
    <row r="667" spans="1:5" x14ac:dyDescent="0.2">
      <c r="A667" s="519" t="s">
        <v>986</v>
      </c>
      <c r="B667" s="519" t="s">
        <v>988</v>
      </c>
      <c r="C667" s="519">
        <v>2500</v>
      </c>
      <c r="D667" s="519">
        <v>6600</v>
      </c>
      <c r="E667" s="520">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21" t="s">
        <v>987</v>
      </c>
      <c r="B668" s="519" t="s">
        <v>988</v>
      </c>
      <c r="C668" s="519">
        <v>2500</v>
      </c>
      <c r="D668" s="519">
        <v>6600</v>
      </c>
      <c r="E668" s="520">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19"/>
      <c r="B669" s="519"/>
      <c r="C669" s="519"/>
      <c r="D669" s="519"/>
      <c r="E669" s="520"/>
    </row>
    <row r="670" spans="1:5" x14ac:dyDescent="0.2">
      <c r="A670" s="519"/>
      <c r="B670" s="519"/>
      <c r="C670" s="519"/>
      <c r="D670" s="519"/>
      <c r="E670" s="520"/>
    </row>
    <row r="671" spans="1:5" x14ac:dyDescent="0.2">
      <c r="A671" s="522" t="s">
        <v>1041</v>
      </c>
      <c r="B671" s="522"/>
      <c r="C671" s="522"/>
      <c r="D671" s="522"/>
      <c r="E671" s="524">
        <f>(E665-E666-E667)+(E668+E669+E670)</f>
        <v>10098</v>
      </c>
    </row>
    <row r="672" spans="1:5" x14ac:dyDescent="0.2">
      <c r="A672" s="519" t="s">
        <v>986</v>
      </c>
      <c r="B672" s="519" t="s">
        <v>986</v>
      </c>
      <c r="C672" s="519">
        <v>2900</v>
      </c>
      <c r="D672" s="519">
        <v>6600</v>
      </c>
      <c r="E672" s="520">
        <f>SUMIFS('Accounting data'!$G$2:$G$37000,'Accounting data'!$J$2:$J$37000,"29*",'Accounting data'!$K$2:$K$37000,"66*")</f>
        <v>0</v>
      </c>
    </row>
    <row r="673" spans="1:5" x14ac:dyDescent="0.2">
      <c r="A673" s="519" t="s">
        <v>987</v>
      </c>
      <c r="B673" s="519" t="s">
        <v>986</v>
      </c>
      <c r="C673" s="519">
        <v>2900</v>
      </c>
      <c r="D673" s="519">
        <v>6600</v>
      </c>
      <c r="E673" s="520">
        <f>SUMIFS('Accounting data'!$G$2:$G$37000,'Accounting data'!$H$2:$H$37000,"9999*",'Accounting data'!$J$2:$J$37000,"29*",'Accounting data'!$K$2:$K$37000,"66*")</f>
        <v>0</v>
      </c>
    </row>
    <row r="674" spans="1:5" x14ac:dyDescent="0.2">
      <c r="A674" s="519" t="s">
        <v>986</v>
      </c>
      <c r="B674" s="519" t="s">
        <v>988</v>
      </c>
      <c r="C674" s="519">
        <v>2900</v>
      </c>
      <c r="D674" s="519">
        <v>6600</v>
      </c>
      <c r="E674" s="520">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21" t="s">
        <v>987</v>
      </c>
      <c r="B675" s="519" t="s">
        <v>988</v>
      </c>
      <c r="C675" s="519">
        <v>2900</v>
      </c>
      <c r="D675" s="519">
        <v>6600</v>
      </c>
      <c r="E675" s="520">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19"/>
      <c r="B676" s="519"/>
      <c r="C676" s="519"/>
      <c r="D676" s="519"/>
      <c r="E676" s="520"/>
    </row>
    <row r="677" spans="1:5" x14ac:dyDescent="0.2">
      <c r="A677" s="519"/>
      <c r="B677" s="519"/>
      <c r="C677" s="519"/>
      <c r="D677" s="519"/>
      <c r="E677" s="520"/>
    </row>
    <row r="678" spans="1:5" x14ac:dyDescent="0.2">
      <c r="A678" s="522" t="s">
        <v>1042</v>
      </c>
      <c r="B678" s="522"/>
      <c r="C678" s="522"/>
      <c r="D678" s="522"/>
      <c r="E678" s="524">
        <f>(E672-E673-E674)+(E675+E676+E677)</f>
        <v>0</v>
      </c>
    </row>
    <row r="679" spans="1:5" x14ac:dyDescent="0.2">
      <c r="A679" s="519" t="s">
        <v>986</v>
      </c>
      <c r="B679" s="519" t="s">
        <v>986</v>
      </c>
      <c r="C679" s="519">
        <v>2600</v>
      </c>
      <c r="D679" s="519">
        <v>6600</v>
      </c>
      <c r="E679" s="520">
        <f>SUMIFS('Accounting data'!$G$2:$G$37000,'Accounting data'!$J$2:$J$37000,"26*",'Accounting data'!$K$2:$K$37000,"66*")</f>
        <v>60367</v>
      </c>
    </row>
    <row r="680" spans="1:5" x14ac:dyDescent="0.2">
      <c r="A680" s="519" t="s">
        <v>987</v>
      </c>
      <c r="B680" s="519" t="s">
        <v>986</v>
      </c>
      <c r="C680" s="519">
        <v>2600</v>
      </c>
      <c r="D680" s="519">
        <v>6600</v>
      </c>
      <c r="E680" s="520">
        <f>SUMIFS('Accounting data'!$G$2:$G$37000,'Accounting data'!$H$2:$H$37000,"9999*",'Accounting data'!$J$2:$J$37000,"26*",'Accounting data'!$K$2:$K$37000,"66*")</f>
        <v>0</v>
      </c>
    </row>
    <row r="681" spans="1:5" x14ac:dyDescent="0.2">
      <c r="A681" s="519" t="s">
        <v>986</v>
      </c>
      <c r="B681" s="519" t="s">
        <v>988</v>
      </c>
      <c r="C681" s="519">
        <v>2600</v>
      </c>
      <c r="D681" s="519">
        <v>6600</v>
      </c>
      <c r="E681" s="520">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21" t="s">
        <v>987</v>
      </c>
      <c r="B682" s="519" t="s">
        <v>988</v>
      </c>
      <c r="C682" s="519">
        <v>2600</v>
      </c>
      <c r="D682" s="519">
        <v>6600</v>
      </c>
      <c r="E682" s="520">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19"/>
      <c r="B683" s="519"/>
      <c r="C683" s="519"/>
      <c r="D683" s="519"/>
      <c r="E683" s="520"/>
    </row>
    <row r="684" spans="1:5" x14ac:dyDescent="0.2">
      <c r="A684" s="519"/>
      <c r="B684" s="519"/>
      <c r="C684" s="519"/>
      <c r="D684" s="519"/>
      <c r="E684" s="520"/>
    </row>
    <row r="685" spans="1:5" x14ac:dyDescent="0.2">
      <c r="A685" s="522" t="s">
        <v>1043</v>
      </c>
      <c r="B685" s="522"/>
      <c r="C685" s="522"/>
      <c r="D685" s="522"/>
      <c r="E685" s="524">
        <f>(E679-E680-E681)+(E682+E683+E684)</f>
        <v>60367</v>
      </c>
    </row>
    <row r="686" spans="1:5" x14ac:dyDescent="0.2">
      <c r="A686" s="519" t="s">
        <v>986</v>
      </c>
      <c r="B686" s="519" t="s">
        <v>986</v>
      </c>
      <c r="C686" s="519">
        <v>2700</v>
      </c>
      <c r="D686" s="519">
        <v>6600</v>
      </c>
      <c r="E686" s="520">
        <f>SUMIFS('Accounting data'!$G$2:$G$37000,'Accounting data'!$J$2:$J$37000,"27*",'Accounting data'!$K$2:$K$37000,"66*")</f>
        <v>0</v>
      </c>
    </row>
    <row r="687" spans="1:5" x14ac:dyDescent="0.2">
      <c r="A687" s="519" t="s">
        <v>987</v>
      </c>
      <c r="B687" s="519" t="s">
        <v>986</v>
      </c>
      <c r="C687" s="519">
        <v>2700</v>
      </c>
      <c r="D687" s="519">
        <v>6600</v>
      </c>
      <c r="E687" s="520">
        <f>SUMIFS('Accounting data'!$G$2:$G$37000,'Accounting data'!$H$2:$H$37000,"9999*",'Accounting data'!$J$2:$J$37000,"27*",'Accounting data'!$K$2:$K$37000,"66*")</f>
        <v>0</v>
      </c>
    </row>
    <row r="688" spans="1:5" x14ac:dyDescent="0.2">
      <c r="A688" s="519" t="s">
        <v>986</v>
      </c>
      <c r="B688" s="519" t="s">
        <v>988</v>
      </c>
      <c r="C688" s="519">
        <v>2700</v>
      </c>
      <c r="D688" s="519">
        <v>6600</v>
      </c>
      <c r="E688" s="520">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21" t="s">
        <v>987</v>
      </c>
      <c r="B689" s="519" t="s">
        <v>988</v>
      </c>
      <c r="C689" s="519">
        <v>2700</v>
      </c>
      <c r="D689" s="519">
        <v>6600</v>
      </c>
      <c r="E689" s="520">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19"/>
      <c r="B690" s="519"/>
      <c r="C690" s="519"/>
      <c r="D690" s="519"/>
      <c r="E690" s="520"/>
    </row>
    <row r="691" spans="1:5" x14ac:dyDescent="0.2">
      <c r="A691" s="519"/>
      <c r="B691" s="519"/>
      <c r="C691" s="519"/>
      <c r="D691" s="519"/>
      <c r="E691" s="520"/>
    </row>
    <row r="692" spans="1:5" x14ac:dyDescent="0.2">
      <c r="A692" s="522" t="s">
        <v>1044</v>
      </c>
      <c r="B692" s="522"/>
      <c r="C692" s="522"/>
      <c r="D692" s="522"/>
      <c r="E692" s="524">
        <f>(E686-E687-E688)+(E689+E690+E691)</f>
        <v>0</v>
      </c>
    </row>
    <row r="693" spans="1:5" x14ac:dyDescent="0.2">
      <c r="A693" s="519" t="s">
        <v>986</v>
      </c>
      <c r="B693" s="519" t="s">
        <v>986</v>
      </c>
      <c r="C693" s="519">
        <v>3100</v>
      </c>
      <c r="D693" s="519">
        <v>6600</v>
      </c>
      <c r="E693" s="520">
        <f>SUMIFS('Accounting data'!$G$2:$G$37000,'Accounting data'!$J$2:$J$37000,"31*",'Accounting data'!$K$2:$K$37000,"66*")</f>
        <v>0</v>
      </c>
    </row>
    <row r="694" spans="1:5" x14ac:dyDescent="0.2">
      <c r="A694" s="519" t="s">
        <v>987</v>
      </c>
      <c r="B694" s="519" t="s">
        <v>986</v>
      </c>
      <c r="C694" s="519">
        <v>3100</v>
      </c>
      <c r="D694" s="519">
        <v>6600</v>
      </c>
      <c r="E694" s="520">
        <f>SUMIFS('Accounting data'!$G$2:$G$37000,'Accounting data'!$H$2:$H$37000,"9999*",'Accounting data'!$J$2:$J$37000,"31*",'Accounting data'!$K$2:$K$37000,"66*")</f>
        <v>0</v>
      </c>
    </row>
    <row r="695" spans="1:5" x14ac:dyDescent="0.2">
      <c r="A695" s="519" t="s">
        <v>986</v>
      </c>
      <c r="B695" s="519" t="s">
        <v>988</v>
      </c>
      <c r="C695" s="519">
        <v>3100</v>
      </c>
      <c r="D695" s="519">
        <v>6600</v>
      </c>
      <c r="E695" s="520">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21" t="s">
        <v>987</v>
      </c>
      <c r="B696" s="519" t="s">
        <v>988</v>
      </c>
      <c r="C696" s="519">
        <v>3100</v>
      </c>
      <c r="D696" s="519">
        <v>6600</v>
      </c>
      <c r="E696" s="520">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19"/>
      <c r="B697" s="519"/>
      <c r="C697" s="519"/>
      <c r="D697" s="519"/>
      <c r="E697" s="520"/>
    </row>
    <row r="698" spans="1:5" x14ac:dyDescent="0.2">
      <c r="A698" s="519"/>
      <c r="B698" s="519"/>
      <c r="C698" s="519"/>
      <c r="D698" s="519"/>
      <c r="E698" s="520"/>
    </row>
    <row r="699" spans="1:5" x14ac:dyDescent="0.2">
      <c r="A699" s="522" t="s">
        <v>1045</v>
      </c>
      <c r="B699" s="522"/>
      <c r="C699" s="522"/>
      <c r="D699" s="522"/>
      <c r="E699" s="524">
        <f>(E693-E694-E695)+(E696+E697+E698)</f>
        <v>0</v>
      </c>
    </row>
    <row r="707" spans="1:5" x14ac:dyDescent="0.2">
      <c r="A707" s="519" t="s">
        <v>986</v>
      </c>
      <c r="B707" s="519" t="s">
        <v>986</v>
      </c>
      <c r="C707" s="519">
        <v>3400</v>
      </c>
      <c r="D707" s="519">
        <v>6600</v>
      </c>
      <c r="E707" s="520">
        <f>SUMIFS('Accounting data'!$G$2:$G$37000,'Accounting data'!$J$2:$J$37000,"34*",'Accounting data'!$K$2:$K$37000,"66*")</f>
        <v>0</v>
      </c>
    </row>
    <row r="708" spans="1:5" x14ac:dyDescent="0.2">
      <c r="A708" s="519" t="s">
        <v>987</v>
      </c>
      <c r="B708" s="519" t="s">
        <v>986</v>
      </c>
      <c r="C708" s="519">
        <v>3400</v>
      </c>
      <c r="D708" s="519">
        <v>6600</v>
      </c>
      <c r="E708" s="520">
        <f>SUMIFS('Accounting data'!$G$2:$G$37000,'Accounting data'!$H$2:$H$37000,"9999*",'Accounting data'!$J$2:$J$37000,"34*",'Accounting data'!$K$2:$K$37000,"66*")</f>
        <v>0</v>
      </c>
    </row>
    <row r="709" spans="1:5" x14ac:dyDescent="0.2">
      <c r="A709" s="519" t="s">
        <v>986</v>
      </c>
      <c r="B709" s="519" t="s">
        <v>988</v>
      </c>
      <c r="C709" s="519">
        <v>3400</v>
      </c>
      <c r="D709" s="519">
        <v>6600</v>
      </c>
      <c r="E709" s="520">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21" t="s">
        <v>987</v>
      </c>
      <c r="B710" s="519" t="s">
        <v>988</v>
      </c>
      <c r="C710" s="519">
        <v>3400</v>
      </c>
      <c r="D710" s="519">
        <v>6600</v>
      </c>
      <c r="E710" s="520">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19"/>
      <c r="B711" s="519"/>
      <c r="C711" s="519"/>
      <c r="D711" s="519"/>
      <c r="E711" s="520"/>
    </row>
    <row r="712" spans="1:5" x14ac:dyDescent="0.2">
      <c r="A712" s="519"/>
      <c r="B712" s="519"/>
      <c r="C712" s="519"/>
      <c r="D712" s="519"/>
      <c r="E712" s="520"/>
    </row>
    <row r="713" spans="1:5" x14ac:dyDescent="0.2">
      <c r="A713" s="522" t="s">
        <v>1046</v>
      </c>
      <c r="B713" s="522"/>
      <c r="C713" s="522"/>
      <c r="D713" s="522"/>
      <c r="E713" s="524">
        <f>(E707-E708-E709)+(E710+E711+E712)</f>
        <v>0</v>
      </c>
    </row>
    <row r="714" spans="1:5" x14ac:dyDescent="0.2">
      <c r="A714" s="519" t="s">
        <v>986</v>
      </c>
      <c r="B714" s="519" t="s">
        <v>986</v>
      </c>
      <c r="C714" s="519">
        <v>4000</v>
      </c>
      <c r="D714" s="519">
        <v>6600</v>
      </c>
      <c r="E714" s="520">
        <f>SUMIFS('Accounting data'!$G$2:$G$37000,'Accounting data'!$J$2:$J$37000,"4*",'Accounting data'!$K$2:$K$37000,"66*")</f>
        <v>0</v>
      </c>
    </row>
    <row r="715" spans="1:5" x14ac:dyDescent="0.2">
      <c r="A715" s="519" t="s">
        <v>987</v>
      </c>
      <c r="B715" s="519" t="s">
        <v>986</v>
      </c>
      <c r="C715" s="519">
        <v>4000</v>
      </c>
      <c r="D715" s="519">
        <v>6600</v>
      </c>
      <c r="E715" s="520">
        <f>SUMIFS('Accounting data'!$G$2:$G$37000,'Accounting data'!$H$2:$H$37000,"9999*",'Accounting data'!$J$2:$J$37000,"4*",'Accounting data'!$K$2:$K$37000,"66*")</f>
        <v>0</v>
      </c>
    </row>
    <row r="716" spans="1:5" x14ac:dyDescent="0.2">
      <c r="A716" s="519" t="s">
        <v>986</v>
      </c>
      <c r="B716" s="519" t="s">
        <v>988</v>
      </c>
      <c r="C716" s="519">
        <v>4000</v>
      </c>
      <c r="D716" s="519">
        <v>6600</v>
      </c>
      <c r="E716" s="520">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21" t="s">
        <v>987</v>
      </c>
      <c r="B717" s="519" t="s">
        <v>988</v>
      </c>
      <c r="C717" s="519">
        <v>4000</v>
      </c>
      <c r="D717" s="519">
        <v>6600</v>
      </c>
      <c r="E717" s="520">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19"/>
      <c r="B718" s="519"/>
      <c r="C718" s="519"/>
      <c r="D718" s="519"/>
      <c r="E718" s="520"/>
    </row>
    <row r="719" spans="1:5" x14ac:dyDescent="0.2">
      <c r="A719" s="519"/>
      <c r="B719" s="519"/>
      <c r="C719" s="519"/>
      <c r="D719" s="519"/>
      <c r="E719" s="520"/>
    </row>
    <row r="720" spans="1:5" x14ac:dyDescent="0.2">
      <c r="A720" s="522" t="s">
        <v>1047</v>
      </c>
      <c r="B720" s="522"/>
      <c r="C720" s="522"/>
      <c r="D720" s="522"/>
      <c r="E720" s="524">
        <f>(E714-E715-E716)+(E717+E718+E719)</f>
        <v>0</v>
      </c>
    </row>
    <row r="721" spans="1:5" x14ac:dyDescent="0.2">
      <c r="A721" s="530" t="s">
        <v>1048</v>
      </c>
      <c r="B721" s="530"/>
      <c r="C721" s="530"/>
      <c r="D721" s="530"/>
      <c r="E721" s="531">
        <f>E636+E643+E650+E657+E664+E671+E678+E685+E692+E699+E706+E713</f>
        <v>185326</v>
      </c>
    </row>
    <row r="722" spans="1:5" x14ac:dyDescent="0.2">
      <c r="A722" s="519" t="s">
        <v>1002</v>
      </c>
      <c r="B722" s="519" t="s">
        <v>986</v>
      </c>
      <c r="C722" s="519">
        <v>1000</v>
      </c>
      <c r="D722" s="519">
        <v>6600</v>
      </c>
      <c r="E722" s="520">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0</v>
      </c>
    </row>
    <row r="723" spans="1:5" x14ac:dyDescent="0.2">
      <c r="A723" s="519" t="s">
        <v>1002</v>
      </c>
      <c r="B723" s="519" t="s">
        <v>986</v>
      </c>
      <c r="C723" s="519">
        <v>2000</v>
      </c>
      <c r="D723" s="519">
        <v>6600</v>
      </c>
      <c r="E723" s="520">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698</v>
      </c>
    </row>
    <row r="724" spans="1:5" x14ac:dyDescent="0.2">
      <c r="A724" s="519" t="s">
        <v>1002</v>
      </c>
      <c r="B724" s="519" t="s">
        <v>986</v>
      </c>
      <c r="C724" s="519">
        <v>3000</v>
      </c>
      <c r="D724" s="519">
        <v>6600</v>
      </c>
      <c r="E724" s="520">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19" t="s">
        <v>1002</v>
      </c>
      <c r="B725" s="521">
        <v>700</v>
      </c>
      <c r="C725" s="519">
        <v>1000</v>
      </c>
      <c r="D725" s="519">
        <v>6600</v>
      </c>
      <c r="E725" s="520">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19" t="s">
        <v>1002</v>
      </c>
      <c r="B726" s="521">
        <v>800</v>
      </c>
      <c r="C726" s="519">
        <v>1000</v>
      </c>
      <c r="D726" s="519">
        <v>6600</v>
      </c>
      <c r="E726" s="520">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19" t="s">
        <v>1002</v>
      </c>
      <c r="B727" s="521">
        <v>900</v>
      </c>
      <c r="C727" s="519">
        <v>1000</v>
      </c>
      <c r="D727" s="519">
        <v>6600</v>
      </c>
      <c r="E727" s="520">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19" t="s">
        <v>1002</v>
      </c>
      <c r="B728" s="521">
        <v>700</v>
      </c>
      <c r="C728" s="519">
        <v>2000</v>
      </c>
      <c r="D728" s="519">
        <v>6600</v>
      </c>
      <c r="E728" s="520">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19" t="s">
        <v>1002</v>
      </c>
      <c r="B729" s="521">
        <v>800</v>
      </c>
      <c r="C729" s="519">
        <v>2000</v>
      </c>
      <c r="D729" s="519">
        <v>6600</v>
      </c>
      <c r="E729" s="520">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19" t="s">
        <v>1002</v>
      </c>
      <c r="B730" s="521">
        <v>900</v>
      </c>
      <c r="C730" s="519">
        <v>2000</v>
      </c>
      <c r="D730" s="519">
        <v>6600</v>
      </c>
      <c r="E730" s="520">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19" t="s">
        <v>1002</v>
      </c>
      <c r="B731" s="521">
        <v>700</v>
      </c>
      <c r="C731" s="519">
        <v>3000</v>
      </c>
      <c r="D731" s="519">
        <v>6600</v>
      </c>
      <c r="E731" s="520">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19" t="s">
        <v>1002</v>
      </c>
      <c r="B732" s="521">
        <v>800</v>
      </c>
      <c r="C732" s="519">
        <v>3000</v>
      </c>
      <c r="D732" s="519">
        <v>6600</v>
      </c>
      <c r="E732" s="520">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19" t="s">
        <v>1002</v>
      </c>
      <c r="B733" s="521">
        <v>900</v>
      </c>
      <c r="C733" s="519">
        <v>3000</v>
      </c>
      <c r="D733" s="519">
        <v>6600</v>
      </c>
      <c r="E733" s="520">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22" t="s">
        <v>1049</v>
      </c>
      <c r="B734" s="522"/>
      <c r="C734" s="522"/>
      <c r="D734" s="522"/>
      <c r="E734" s="524">
        <f>(E722+E723+E724)-(E725+E726+E727+E728+E729+E730+E731+E732+E733)</f>
        <v>698</v>
      </c>
    </row>
    <row r="945" spans="1:5" x14ac:dyDescent="0.2">
      <c r="A945" s="519" t="s">
        <v>986</v>
      </c>
      <c r="B945" s="519" t="s">
        <v>986</v>
      </c>
      <c r="C945" s="519">
        <v>1000</v>
      </c>
      <c r="D945" s="528">
        <v>6810</v>
      </c>
      <c r="E945" s="520">
        <f>SUMIFS('Accounting data'!$G$2:$G$37000,'Accounting data'!$J$2:$J$37000,"1*",'Accounting data'!$K$2:$K$37000,"681*")</f>
        <v>34626</v>
      </c>
    </row>
    <row r="946" spans="1:5" x14ac:dyDescent="0.2">
      <c r="A946" s="519" t="s">
        <v>987</v>
      </c>
      <c r="B946" s="519" t="s">
        <v>986</v>
      </c>
      <c r="C946" s="519">
        <v>1000</v>
      </c>
      <c r="D946" s="528">
        <v>6810</v>
      </c>
      <c r="E946" s="520">
        <f>SUMIFS('Accounting data'!$G$2:$G$37000,'Accounting data'!$H$2:$H$37000,"9999*",'Accounting data'!$J$2:$J$37000,"1*",'Accounting data'!$K$2:$K$37000,"681*")</f>
        <v>0</v>
      </c>
    </row>
    <row r="947" spans="1:5" x14ac:dyDescent="0.2">
      <c r="A947" s="519" t="s">
        <v>986</v>
      </c>
      <c r="B947" s="519" t="s">
        <v>988</v>
      </c>
      <c r="C947" s="519">
        <v>1000</v>
      </c>
      <c r="D947" s="528">
        <v>6810</v>
      </c>
      <c r="E947" s="520">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21" t="s">
        <v>987</v>
      </c>
      <c r="B948" s="519" t="s">
        <v>988</v>
      </c>
      <c r="C948" s="519">
        <v>1000</v>
      </c>
      <c r="D948" s="528">
        <v>6810</v>
      </c>
      <c r="E948" s="520">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19"/>
      <c r="B949" s="519"/>
      <c r="C949" s="519"/>
      <c r="D949" s="528"/>
      <c r="E949" s="520"/>
    </row>
    <row r="950" spans="1:5" x14ac:dyDescent="0.2">
      <c r="A950" s="519"/>
      <c r="B950" s="519"/>
      <c r="C950" s="519"/>
      <c r="D950" s="528"/>
      <c r="E950" s="520"/>
    </row>
    <row r="951" spans="1:5" x14ac:dyDescent="0.2">
      <c r="A951" s="522" t="s">
        <v>1050</v>
      </c>
      <c r="B951" s="522"/>
      <c r="C951" s="522"/>
      <c r="D951" s="522"/>
      <c r="E951" s="524">
        <f>((E945-E946-E947)+(E948+E949+E950))</f>
        <v>34626</v>
      </c>
    </row>
    <row r="952" spans="1:5" x14ac:dyDescent="0.2">
      <c r="A952" s="519" t="s">
        <v>986</v>
      </c>
      <c r="B952" s="519" t="s">
        <v>986</v>
      </c>
      <c r="C952" s="519">
        <v>2100</v>
      </c>
      <c r="D952" s="528">
        <v>6810</v>
      </c>
      <c r="E952" s="520">
        <f>SUMIFS('Accounting data'!$G$2:$G$37000,'Accounting data'!$J$2:$J$37000,"21*",'Accounting data'!$K$2:$K$37000,"681*")</f>
        <v>449</v>
      </c>
    </row>
    <row r="953" spans="1:5" x14ac:dyDescent="0.2">
      <c r="A953" s="519" t="s">
        <v>987</v>
      </c>
      <c r="B953" s="519" t="s">
        <v>986</v>
      </c>
      <c r="C953" s="519">
        <v>2100</v>
      </c>
      <c r="D953" s="528">
        <v>6810</v>
      </c>
      <c r="E953" s="520">
        <f>SUMIFS('Accounting data'!$G$2:$G$37000,'Accounting data'!$H$2:$H$37000,"9999*",'Accounting data'!$J$2:$J$37000,"21*",'Accounting data'!$K$2:$K$37000,"681*")</f>
        <v>0</v>
      </c>
    </row>
    <row r="954" spans="1:5" x14ac:dyDescent="0.2">
      <c r="A954" s="519" t="s">
        <v>986</v>
      </c>
      <c r="B954" s="519" t="s">
        <v>988</v>
      </c>
      <c r="C954" s="519">
        <v>2100</v>
      </c>
      <c r="D954" s="528">
        <v>6810</v>
      </c>
      <c r="E954" s="520">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21" t="s">
        <v>987</v>
      </c>
      <c r="B955" s="519" t="s">
        <v>988</v>
      </c>
      <c r="C955" s="519">
        <v>2100</v>
      </c>
      <c r="D955" s="528">
        <v>6810</v>
      </c>
      <c r="E955" s="520">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19"/>
      <c r="B956" s="519"/>
      <c r="C956" s="519"/>
      <c r="D956" s="528"/>
      <c r="E956" s="520"/>
    </row>
    <row r="957" spans="1:5" x14ac:dyDescent="0.2">
      <c r="A957" s="519"/>
      <c r="B957" s="519"/>
      <c r="C957" s="519"/>
      <c r="D957" s="528"/>
      <c r="E957" s="520"/>
    </row>
    <row r="958" spans="1:5" x14ac:dyDescent="0.2">
      <c r="A958" s="522" t="s">
        <v>1051</v>
      </c>
      <c r="B958" s="522"/>
      <c r="C958" s="522"/>
      <c r="D958" s="522"/>
      <c r="E958" s="524">
        <f>(E952-E953-E954)+(E955+E956+E957)</f>
        <v>449</v>
      </c>
    </row>
    <row r="959" spans="1:5" x14ac:dyDescent="0.2">
      <c r="A959" s="519" t="s">
        <v>986</v>
      </c>
      <c r="B959" s="519" t="s">
        <v>986</v>
      </c>
      <c r="C959" s="519">
        <v>2200</v>
      </c>
      <c r="D959" s="528">
        <v>6810</v>
      </c>
      <c r="E959" s="520">
        <f>SUMIFS('Accounting data'!$G$2:$G$37000,'Accounting data'!$J$2:$J$37000,"22*",'Accounting data'!$K$2:$K$37000,"681*")</f>
        <v>1307</v>
      </c>
    </row>
    <row r="960" spans="1:5" x14ac:dyDescent="0.2">
      <c r="A960" s="519" t="s">
        <v>987</v>
      </c>
      <c r="B960" s="519" t="s">
        <v>986</v>
      </c>
      <c r="C960" s="519">
        <v>2200</v>
      </c>
      <c r="D960" s="528">
        <v>6810</v>
      </c>
      <c r="E960" s="520">
        <f>SUMIFS('Accounting data'!$G$2:$G$37000,'Accounting data'!$H$2:$H$37000,"9999*",'Accounting data'!$J$2:$J$37000,"22*",'Accounting data'!$K$2:$K$37000,"681*")</f>
        <v>0</v>
      </c>
    </row>
    <row r="961" spans="1:5" x14ac:dyDescent="0.2">
      <c r="A961" s="519" t="s">
        <v>986</v>
      </c>
      <c r="B961" s="519" t="s">
        <v>988</v>
      </c>
      <c r="C961" s="519">
        <v>2200</v>
      </c>
      <c r="D961" s="528">
        <v>6810</v>
      </c>
      <c r="E961" s="520">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21" t="s">
        <v>987</v>
      </c>
      <c r="B962" s="519" t="s">
        <v>988</v>
      </c>
      <c r="C962" s="519">
        <v>2200</v>
      </c>
      <c r="D962" s="528">
        <v>6810</v>
      </c>
      <c r="E962" s="520">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19"/>
      <c r="B963" s="519"/>
      <c r="C963" s="519"/>
      <c r="D963" s="528"/>
      <c r="E963" s="520"/>
    </row>
    <row r="964" spans="1:5" x14ac:dyDescent="0.2">
      <c r="A964" s="519"/>
      <c r="B964" s="519"/>
      <c r="C964" s="519"/>
      <c r="D964" s="528"/>
      <c r="E964" s="520"/>
    </row>
    <row r="965" spans="1:5" x14ac:dyDescent="0.2">
      <c r="A965" s="522" t="s">
        <v>1052</v>
      </c>
      <c r="B965" s="522"/>
      <c r="C965" s="522"/>
      <c r="D965" s="522"/>
      <c r="E965" s="524">
        <f>(E959-E960-E961)+(E962+E963+E964)</f>
        <v>1307</v>
      </c>
    </row>
    <row r="966" spans="1:5" x14ac:dyDescent="0.2">
      <c r="A966" s="519" t="s">
        <v>986</v>
      </c>
      <c r="B966" s="519" t="s">
        <v>986</v>
      </c>
      <c r="C966" s="519">
        <v>2300</v>
      </c>
      <c r="D966" s="528">
        <v>6810</v>
      </c>
      <c r="E966" s="520">
        <f>SUMIFS('Accounting data'!$G$2:$G$37000,'Accounting data'!$J$2:$J$37000,"23*",'Accounting data'!$K$2:$K$37000,"681*")</f>
        <v>3753</v>
      </c>
    </row>
    <row r="967" spans="1:5" x14ac:dyDescent="0.2">
      <c r="A967" s="519" t="s">
        <v>987</v>
      </c>
      <c r="B967" s="519" t="s">
        <v>986</v>
      </c>
      <c r="C967" s="519">
        <v>2300</v>
      </c>
      <c r="D967" s="528">
        <v>6810</v>
      </c>
      <c r="E967" s="520">
        <f>SUMIFS('Accounting data'!$G$2:$G$37000,'Accounting data'!$H$2:$H$37000,"9999*",'Accounting data'!$J$2:$J$37000,"23*",'Accounting data'!$K$2:$K$37000,"681*")</f>
        <v>0</v>
      </c>
    </row>
    <row r="968" spans="1:5" x14ac:dyDescent="0.2">
      <c r="A968" s="519" t="s">
        <v>986</v>
      </c>
      <c r="B968" s="519" t="s">
        <v>988</v>
      </c>
      <c r="C968" s="519">
        <v>2300</v>
      </c>
      <c r="D968" s="528">
        <v>6810</v>
      </c>
      <c r="E968" s="520">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21" t="s">
        <v>987</v>
      </c>
      <c r="B969" s="519" t="s">
        <v>988</v>
      </c>
      <c r="C969" s="519">
        <v>2300</v>
      </c>
      <c r="D969" s="528">
        <v>6810</v>
      </c>
      <c r="E969" s="520">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19"/>
      <c r="B970" s="519"/>
      <c r="C970" s="519"/>
      <c r="D970" s="528"/>
      <c r="E970" s="520"/>
    </row>
    <row r="971" spans="1:5" x14ac:dyDescent="0.2">
      <c r="A971" s="519"/>
      <c r="B971" s="519"/>
      <c r="C971" s="519"/>
      <c r="D971" s="528"/>
      <c r="E971" s="520"/>
    </row>
    <row r="972" spans="1:5" x14ac:dyDescent="0.2">
      <c r="A972" s="522" t="s">
        <v>1053</v>
      </c>
      <c r="B972" s="522"/>
      <c r="C972" s="522"/>
      <c r="D972" s="522"/>
      <c r="E972" s="524">
        <f>(E966-E967-E968)+(E969+E970+E971)</f>
        <v>3753</v>
      </c>
    </row>
    <row r="973" spans="1:5" x14ac:dyDescent="0.2">
      <c r="A973" s="519" t="s">
        <v>986</v>
      </c>
      <c r="B973" s="519" t="s">
        <v>986</v>
      </c>
      <c r="C973" s="519">
        <v>2400</v>
      </c>
      <c r="D973" s="528">
        <v>6810</v>
      </c>
      <c r="E973" s="520">
        <f>SUMIFS('Accounting data'!$G$2:$G$37000,'Accounting data'!$J$2:$J$37000,"24*",'Accounting data'!$K$2:$K$37000,"681*")</f>
        <v>2256</v>
      </c>
    </row>
    <row r="974" spans="1:5" x14ac:dyDescent="0.2">
      <c r="A974" s="519" t="s">
        <v>987</v>
      </c>
      <c r="B974" s="519" t="s">
        <v>986</v>
      </c>
      <c r="C974" s="519">
        <v>2400</v>
      </c>
      <c r="D974" s="528">
        <v>6810</v>
      </c>
      <c r="E974" s="520">
        <f>SUMIFS('Accounting data'!$G$2:$G$37000,'Accounting data'!$H$2:$H$37000,"9999*",'Accounting data'!$J$2:$J$37000,"24*",'Accounting data'!$K$2:$K$37000,"681*")</f>
        <v>0</v>
      </c>
    </row>
    <row r="975" spans="1:5" x14ac:dyDescent="0.2">
      <c r="A975" s="519" t="s">
        <v>986</v>
      </c>
      <c r="B975" s="519" t="s">
        <v>988</v>
      </c>
      <c r="C975" s="519">
        <v>2400</v>
      </c>
      <c r="D975" s="528">
        <v>6810</v>
      </c>
      <c r="E975" s="520">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21" t="s">
        <v>987</v>
      </c>
      <c r="B976" s="519" t="s">
        <v>988</v>
      </c>
      <c r="C976" s="519">
        <v>2400</v>
      </c>
      <c r="D976" s="528">
        <v>6810</v>
      </c>
      <c r="E976" s="520">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9" spans="1:5" x14ac:dyDescent="0.2">
      <c r="A979" s="522" t="s">
        <v>1054</v>
      </c>
      <c r="B979" s="522"/>
      <c r="C979" s="522"/>
      <c r="D979" s="522"/>
      <c r="E979" s="524">
        <f>(E973-E974-E975)+(E976+E977+E978)</f>
        <v>2256</v>
      </c>
    </row>
    <row r="980" spans="1:5" x14ac:dyDescent="0.2">
      <c r="A980" s="519" t="s">
        <v>986</v>
      </c>
      <c r="B980" s="519" t="s">
        <v>986</v>
      </c>
      <c r="C980" s="519">
        <v>2500</v>
      </c>
      <c r="D980" s="528">
        <v>6810</v>
      </c>
      <c r="E980" s="520">
        <f>SUMIFS('Accounting data'!$G$2:$G$37000,'Accounting data'!$J$2:$J$37000,"25*",'Accounting data'!$K$2:$K$37000,"681*")</f>
        <v>69824</v>
      </c>
    </row>
    <row r="981" spans="1:5" x14ac:dyDescent="0.2">
      <c r="A981" s="519" t="s">
        <v>987</v>
      </c>
      <c r="B981" s="519" t="s">
        <v>986</v>
      </c>
      <c r="C981" s="519">
        <v>2500</v>
      </c>
      <c r="D981" s="528">
        <v>6810</v>
      </c>
      <c r="E981" s="520">
        <f>SUMIFS('Accounting data'!$G$2:$G$37000,'Accounting data'!$H$2:$H$37000,"9999*",'Accounting data'!$J$2:$J$37000,"25*",'Accounting data'!$K$2:$K$37000,"681*")</f>
        <v>0</v>
      </c>
    </row>
    <row r="982" spans="1:5" x14ac:dyDescent="0.2">
      <c r="A982" s="519" t="s">
        <v>986</v>
      </c>
      <c r="B982" s="519" t="s">
        <v>988</v>
      </c>
      <c r="C982" s="519">
        <v>2500</v>
      </c>
      <c r="D982" s="528">
        <v>6810</v>
      </c>
      <c r="E982" s="520">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21" t="s">
        <v>987</v>
      </c>
      <c r="B983" s="519" t="s">
        <v>988</v>
      </c>
      <c r="C983" s="519">
        <v>2500</v>
      </c>
      <c r="D983" s="528">
        <v>6810</v>
      </c>
      <c r="E983" s="520">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19"/>
      <c r="B984" s="519"/>
      <c r="C984" s="519"/>
      <c r="D984" s="528"/>
      <c r="E984" s="520"/>
    </row>
    <row r="985" spans="1:5" x14ac:dyDescent="0.2">
      <c r="A985" s="519"/>
      <c r="B985" s="519"/>
      <c r="C985" s="519"/>
      <c r="D985" s="528"/>
      <c r="E985" s="520"/>
    </row>
    <row r="986" spans="1:5" x14ac:dyDescent="0.2">
      <c r="A986" s="522" t="s">
        <v>1055</v>
      </c>
      <c r="B986" s="522"/>
      <c r="C986" s="522"/>
      <c r="D986" s="522"/>
      <c r="E986" s="524">
        <f>(E980-E981-E982)+(E983+E984+E985)</f>
        <v>69824</v>
      </c>
    </row>
    <row r="987" spans="1:5" x14ac:dyDescent="0.2">
      <c r="A987" s="519" t="s">
        <v>986</v>
      </c>
      <c r="B987" s="519" t="s">
        <v>986</v>
      </c>
      <c r="C987" s="519">
        <v>2900</v>
      </c>
      <c r="D987" s="528">
        <v>6810</v>
      </c>
      <c r="E987" s="520">
        <f>SUMIFS('Accounting data'!$G$2:$G$37000,'Accounting data'!$J$2:$J$37000,"29*",'Accounting data'!$K$2:$K$37000,"681*")</f>
        <v>0</v>
      </c>
    </row>
    <row r="988" spans="1:5" x14ac:dyDescent="0.2">
      <c r="A988" s="519" t="s">
        <v>987</v>
      </c>
      <c r="B988" s="519" t="s">
        <v>986</v>
      </c>
      <c r="C988" s="519">
        <v>2900</v>
      </c>
      <c r="D988" s="528">
        <v>6810</v>
      </c>
      <c r="E988" s="520">
        <f>SUMIFS('Accounting data'!$G$2:$G$37000,'Accounting data'!$H$2:$H$37000,"9999*",'Accounting data'!$J$2:$J$37000,"29*",'Accounting data'!$K$2:$K$37000,"681*")</f>
        <v>0</v>
      </c>
    </row>
    <row r="989" spans="1:5" x14ac:dyDescent="0.2">
      <c r="A989" s="519" t="s">
        <v>986</v>
      </c>
      <c r="B989" s="519" t="s">
        <v>988</v>
      </c>
      <c r="C989" s="519">
        <v>2900</v>
      </c>
      <c r="D989" s="528">
        <v>6810</v>
      </c>
      <c r="E989" s="520">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21" t="s">
        <v>987</v>
      </c>
      <c r="B990" s="519" t="s">
        <v>988</v>
      </c>
      <c r="C990" s="519">
        <v>2900</v>
      </c>
      <c r="D990" s="528">
        <v>6810</v>
      </c>
      <c r="E990" s="520">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3" spans="1:5" x14ac:dyDescent="0.2">
      <c r="A993" s="522" t="s">
        <v>1056</v>
      </c>
      <c r="B993" s="522"/>
      <c r="C993" s="522"/>
      <c r="D993" s="522"/>
      <c r="E993" s="524">
        <f>(E987-E988-E989)+(E990+E991+E992)</f>
        <v>0</v>
      </c>
    </row>
    <row r="994" spans="1:5" x14ac:dyDescent="0.2">
      <c r="A994" s="519" t="s">
        <v>986</v>
      </c>
      <c r="B994" s="519" t="s">
        <v>986</v>
      </c>
      <c r="C994" s="519">
        <v>2600</v>
      </c>
      <c r="D994" s="528">
        <v>6810</v>
      </c>
      <c r="E994" s="520">
        <f>SUMIFS('Accounting data'!$G$2:$G$37000,'Accounting data'!$J$2:$J$37000,"26*",'Accounting data'!$K$2:$K$37000,"681*")</f>
        <v>3082</v>
      </c>
    </row>
    <row r="995" spans="1:5" x14ac:dyDescent="0.2">
      <c r="A995" s="519" t="s">
        <v>987</v>
      </c>
      <c r="B995" s="519" t="s">
        <v>986</v>
      </c>
      <c r="C995" s="519">
        <v>2600</v>
      </c>
      <c r="D995" s="528">
        <v>6810</v>
      </c>
      <c r="E995" s="520">
        <f>SUMIFS('Accounting data'!$G$2:$G$37000,'Accounting data'!$H$2:$H$37000,"9999*",'Accounting data'!$J$2:$J$37000,"26*",'Accounting data'!$K$2:$K$37000,"681*")</f>
        <v>0</v>
      </c>
    </row>
    <row r="996" spans="1:5" x14ac:dyDescent="0.2">
      <c r="A996" s="519" t="s">
        <v>986</v>
      </c>
      <c r="B996" s="519" t="s">
        <v>988</v>
      </c>
      <c r="C996" s="519">
        <v>2600</v>
      </c>
      <c r="D996" s="528">
        <v>6810</v>
      </c>
      <c r="E996" s="520">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21" t="s">
        <v>987</v>
      </c>
      <c r="B997" s="519" t="s">
        <v>988</v>
      </c>
      <c r="C997" s="519">
        <v>2600</v>
      </c>
      <c r="D997" s="528">
        <v>6810</v>
      </c>
      <c r="E997" s="520">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19"/>
      <c r="B998" s="519"/>
      <c r="C998" s="519"/>
      <c r="D998" s="528"/>
      <c r="E998" s="520"/>
    </row>
    <row r="999" spans="1:5" x14ac:dyDescent="0.2">
      <c r="A999" s="519"/>
      <c r="B999" s="519"/>
      <c r="C999" s="519"/>
      <c r="D999" s="528"/>
      <c r="E999" s="520"/>
    </row>
    <row r="1000" spans="1:5" x14ac:dyDescent="0.2">
      <c r="A1000" s="522" t="s">
        <v>1057</v>
      </c>
      <c r="B1000" s="522"/>
      <c r="C1000" s="522"/>
      <c r="D1000" s="522"/>
      <c r="E1000" s="524">
        <f>(E994-E995-E996)+(E997+E998+E999)</f>
        <v>3082</v>
      </c>
    </row>
    <row r="1001" spans="1:5" x14ac:dyDescent="0.2">
      <c r="A1001" s="519" t="s">
        <v>986</v>
      </c>
      <c r="B1001" s="519" t="s">
        <v>986</v>
      </c>
      <c r="C1001" s="519">
        <v>2700</v>
      </c>
      <c r="D1001" s="528">
        <v>6810</v>
      </c>
      <c r="E1001" s="520">
        <f>SUMIFS('Accounting data'!$G$2:$G$37000,'Accounting data'!$J$2:$J$37000,"27*",'Accounting data'!$K$2:$K$37000,"681*")</f>
        <v>0</v>
      </c>
    </row>
    <row r="1002" spans="1:5" x14ac:dyDescent="0.2">
      <c r="A1002" s="519" t="s">
        <v>987</v>
      </c>
      <c r="B1002" s="519" t="s">
        <v>986</v>
      </c>
      <c r="C1002" s="519">
        <v>2700</v>
      </c>
      <c r="D1002" s="528">
        <v>6810</v>
      </c>
      <c r="E1002" s="520">
        <f>SUMIFS('Accounting data'!$G$2:$G$37000,'Accounting data'!$H$2:$H$37000,"9999*",'Accounting data'!$J$2:$J$37000,"27*",'Accounting data'!$K$2:$K$37000,"681*")</f>
        <v>0</v>
      </c>
    </row>
    <row r="1003" spans="1:5" x14ac:dyDescent="0.2">
      <c r="A1003" s="519" t="s">
        <v>986</v>
      </c>
      <c r="B1003" s="519" t="s">
        <v>988</v>
      </c>
      <c r="C1003" s="519">
        <v>2700</v>
      </c>
      <c r="D1003" s="528">
        <v>6810</v>
      </c>
      <c r="E1003" s="520">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21" t="s">
        <v>987</v>
      </c>
      <c r="B1004" s="519" t="s">
        <v>988</v>
      </c>
      <c r="C1004" s="519">
        <v>2700</v>
      </c>
      <c r="D1004" s="528">
        <v>6810</v>
      </c>
      <c r="E1004" s="520">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19"/>
      <c r="B1005" s="519"/>
      <c r="C1005" s="519"/>
      <c r="D1005" s="528"/>
      <c r="E1005" s="520"/>
    </row>
    <row r="1006" spans="1:5" x14ac:dyDescent="0.2">
      <c r="A1006" s="519"/>
      <c r="B1006" s="519"/>
      <c r="C1006" s="519"/>
      <c r="D1006" s="528"/>
      <c r="E1006" s="520"/>
    </row>
    <row r="1007" spans="1:5" x14ac:dyDescent="0.2">
      <c r="A1007" s="522" t="s">
        <v>1058</v>
      </c>
      <c r="B1007" s="522"/>
      <c r="C1007" s="522"/>
      <c r="D1007" s="522"/>
      <c r="E1007" s="524">
        <f>(E1001-E1002-E1003)+(E1004+E1005+E1006)</f>
        <v>0</v>
      </c>
    </row>
    <row r="1008" spans="1:5" x14ac:dyDescent="0.2">
      <c r="A1008" s="519" t="s">
        <v>986</v>
      </c>
      <c r="B1008" s="519" t="s">
        <v>986</v>
      </c>
      <c r="C1008" s="519">
        <v>3100</v>
      </c>
      <c r="D1008" s="528">
        <v>6810</v>
      </c>
      <c r="E1008" s="520">
        <f>SUMIFS('Accounting data'!$G$2:$G$37000,'Accounting data'!$J$2:$J$37000,"31*",'Accounting data'!$K$2:$K$37000,"681*")</f>
        <v>0</v>
      </c>
    </row>
    <row r="1009" spans="1:5" x14ac:dyDescent="0.2">
      <c r="A1009" s="519" t="s">
        <v>987</v>
      </c>
      <c r="B1009" s="519" t="s">
        <v>986</v>
      </c>
      <c r="C1009" s="519">
        <v>3100</v>
      </c>
      <c r="D1009" s="528">
        <v>6810</v>
      </c>
      <c r="E1009" s="520">
        <f>SUMIFS('Accounting data'!$G$2:$G$37000,'Accounting data'!$H$2:$H$37000,"9999*",'Accounting data'!$J$2:$J$37000,"31*",'Accounting data'!$K$2:$K$37000,"681*")</f>
        <v>0</v>
      </c>
    </row>
    <row r="1010" spans="1:5" x14ac:dyDescent="0.2">
      <c r="A1010" s="519" t="s">
        <v>986</v>
      </c>
      <c r="B1010" s="519" t="s">
        <v>988</v>
      </c>
      <c r="C1010" s="519">
        <v>3100</v>
      </c>
      <c r="D1010" s="528">
        <v>6810</v>
      </c>
      <c r="E1010" s="520">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21" t="s">
        <v>987</v>
      </c>
      <c r="B1011" s="519" t="s">
        <v>988</v>
      </c>
      <c r="C1011" s="519">
        <v>3100</v>
      </c>
      <c r="D1011" s="528">
        <v>6810</v>
      </c>
      <c r="E1011" s="520">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19"/>
      <c r="B1012" s="519"/>
      <c r="C1012" s="519"/>
      <c r="D1012" s="528"/>
      <c r="E1012" s="520"/>
    </row>
    <row r="1013" spans="1:5" x14ac:dyDescent="0.2">
      <c r="A1013" s="519"/>
      <c r="B1013" s="519"/>
      <c r="C1013" s="519"/>
      <c r="D1013" s="528"/>
      <c r="E1013" s="520"/>
    </row>
    <row r="1014" spans="1:5" x14ac:dyDescent="0.2">
      <c r="A1014" s="522" t="s">
        <v>1059</v>
      </c>
      <c r="B1014" s="522"/>
      <c r="C1014" s="522"/>
      <c r="D1014" s="522"/>
      <c r="E1014" s="524">
        <f>(E1008-E1009-E1010)+(E1011+E1012+E1013)</f>
        <v>0</v>
      </c>
    </row>
    <row r="1015" spans="1:5" x14ac:dyDescent="0.2">
      <c r="A1015" s="519"/>
      <c r="B1015" s="519"/>
      <c r="C1015" s="519"/>
      <c r="D1015" s="528"/>
      <c r="E1015" s="520"/>
    </row>
    <row r="1016" spans="1:5" x14ac:dyDescent="0.2">
      <c r="A1016" s="519"/>
      <c r="B1016" s="519"/>
      <c r="C1016" s="519"/>
      <c r="D1016" s="528"/>
      <c r="E1016" s="520"/>
    </row>
    <row r="1017" spans="1:5" x14ac:dyDescent="0.2">
      <c r="A1017" s="519"/>
      <c r="B1017" s="519"/>
      <c r="C1017" s="519"/>
      <c r="D1017" s="528"/>
      <c r="E1017" s="520"/>
    </row>
    <row r="1018" spans="1:5" x14ac:dyDescent="0.2">
      <c r="A1018" s="521"/>
      <c r="B1018" s="519"/>
      <c r="C1018" s="519"/>
      <c r="D1018" s="528"/>
      <c r="E1018" s="520"/>
    </row>
    <row r="1019" spans="1:5" x14ac:dyDescent="0.2">
      <c r="A1019" s="519"/>
      <c r="B1019" s="519"/>
      <c r="C1019" s="519"/>
      <c r="D1019" s="528"/>
      <c r="E1019" s="520"/>
    </row>
    <row r="1020" spans="1:5" x14ac:dyDescent="0.2">
      <c r="A1020" s="519"/>
      <c r="B1020" s="519"/>
      <c r="C1020" s="519"/>
      <c r="D1020" s="528"/>
      <c r="E1020" s="520"/>
    </row>
    <row r="1021" spans="1:5" x14ac:dyDescent="0.2">
      <c r="A1021" s="522"/>
      <c r="B1021" s="522"/>
      <c r="C1021" s="522"/>
      <c r="D1021" s="522"/>
      <c r="E1021" s="524"/>
    </row>
    <row r="1022" spans="1:5" x14ac:dyDescent="0.2">
      <c r="A1022" s="519" t="s">
        <v>986</v>
      </c>
      <c r="B1022" s="519" t="s">
        <v>986</v>
      </c>
      <c r="C1022" s="519">
        <v>3400</v>
      </c>
      <c r="D1022" s="528">
        <v>6810</v>
      </c>
      <c r="E1022" s="520">
        <f>SUMIFS('Accounting data'!$G$2:$G$37000,'Accounting data'!$J$2:$J$37000,"34*",'Accounting data'!$K$2:$K$37000,"681*")</f>
        <v>0</v>
      </c>
    </row>
    <row r="1023" spans="1:5" x14ac:dyDescent="0.2">
      <c r="A1023" s="519" t="s">
        <v>987</v>
      </c>
      <c r="B1023" s="519" t="s">
        <v>986</v>
      </c>
      <c r="C1023" s="519">
        <v>3400</v>
      </c>
      <c r="D1023" s="528">
        <v>6810</v>
      </c>
      <c r="E1023" s="520">
        <f>SUMIFS('Accounting data'!$G$2:$G$37000,'Accounting data'!$H$2:$H$37000,"9999*",'Accounting data'!$J$2:$J$37000,"34*",'Accounting data'!$K$2:$K$37000,"681*")</f>
        <v>0</v>
      </c>
    </row>
    <row r="1024" spans="1:5" x14ac:dyDescent="0.2">
      <c r="A1024" s="519" t="s">
        <v>986</v>
      </c>
      <c r="B1024" s="519" t="s">
        <v>988</v>
      </c>
      <c r="C1024" s="519">
        <v>3400</v>
      </c>
      <c r="D1024" s="528">
        <v>6810</v>
      </c>
      <c r="E1024" s="520">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21" t="s">
        <v>987</v>
      </c>
      <c r="B1025" s="519" t="s">
        <v>988</v>
      </c>
      <c r="C1025" s="519">
        <v>3400</v>
      </c>
      <c r="D1025" s="528">
        <v>6810</v>
      </c>
      <c r="E1025" s="520">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19"/>
      <c r="B1026" s="519"/>
      <c r="C1026" s="519"/>
      <c r="D1026" s="528"/>
      <c r="E1026" s="520"/>
    </row>
    <row r="1027" spans="1:5" x14ac:dyDescent="0.2">
      <c r="A1027" s="519"/>
      <c r="B1027" s="519"/>
      <c r="C1027" s="519"/>
      <c r="D1027" s="528"/>
      <c r="E1027" s="520"/>
    </row>
    <row r="1028" spans="1:5" x14ac:dyDescent="0.2">
      <c r="A1028" s="522" t="s">
        <v>1060</v>
      </c>
      <c r="B1028" s="522"/>
      <c r="C1028" s="522"/>
      <c r="D1028" s="522"/>
      <c r="E1028" s="524">
        <f>(E1022-E1023-E1024)+(E1025+E1026+E1027)</f>
        <v>0</v>
      </c>
    </row>
    <row r="1029" spans="1:5" x14ac:dyDescent="0.2">
      <c r="A1029" s="519" t="s">
        <v>986</v>
      </c>
      <c r="B1029" s="519" t="s">
        <v>986</v>
      </c>
      <c r="C1029" s="519">
        <v>4000</v>
      </c>
      <c r="D1029" s="528">
        <v>6810</v>
      </c>
      <c r="E1029" s="520">
        <f>SUMIFS('Accounting data'!$G$2:$G$37000,'Accounting data'!$J$2:$J$37000,"4*",'Accounting data'!$K$2:$K$37000,"681*")</f>
        <v>0</v>
      </c>
    </row>
    <row r="1030" spans="1:5" x14ac:dyDescent="0.2">
      <c r="A1030" s="519" t="s">
        <v>987</v>
      </c>
      <c r="B1030" s="519" t="s">
        <v>986</v>
      </c>
      <c r="C1030" s="519">
        <v>4000</v>
      </c>
      <c r="D1030" s="528">
        <v>6810</v>
      </c>
      <c r="E1030" s="520">
        <f>SUMIFS('Accounting data'!$G$2:$G$37000,'Accounting data'!$H$2:$H$37000,"9999*",'Accounting data'!$J$2:$J$37000,"4*",'Accounting data'!$K$2:$K$37000,"681*")</f>
        <v>0</v>
      </c>
    </row>
    <row r="1031" spans="1:5" x14ac:dyDescent="0.2">
      <c r="A1031" s="519" t="s">
        <v>986</v>
      </c>
      <c r="B1031" s="519" t="s">
        <v>988</v>
      </c>
      <c r="C1031" s="519">
        <v>4000</v>
      </c>
      <c r="D1031" s="528">
        <v>6810</v>
      </c>
      <c r="E1031" s="520">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21" t="s">
        <v>987</v>
      </c>
      <c r="B1032" s="519" t="s">
        <v>988</v>
      </c>
      <c r="C1032" s="519">
        <v>4000</v>
      </c>
      <c r="D1032" s="528">
        <v>6810</v>
      </c>
      <c r="E1032" s="520">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19"/>
      <c r="B1033" s="519"/>
      <c r="C1033" s="519"/>
      <c r="D1033" s="528"/>
      <c r="E1033" s="520"/>
    </row>
    <row r="1034" spans="1:5" x14ac:dyDescent="0.2">
      <c r="A1034" s="519"/>
      <c r="B1034" s="519"/>
      <c r="C1034" s="519"/>
      <c r="D1034" s="528"/>
      <c r="E1034" s="520"/>
    </row>
    <row r="1035" spans="1:5" x14ac:dyDescent="0.2">
      <c r="A1035" s="522" t="s">
        <v>1061</v>
      </c>
      <c r="B1035" s="522"/>
      <c r="C1035" s="522"/>
      <c r="D1035" s="522"/>
      <c r="E1035" s="524">
        <f>(E1029-E1030-E1031)+(E1032+E1033+E1034)</f>
        <v>0</v>
      </c>
    </row>
    <row r="1036" spans="1:5" x14ac:dyDescent="0.2">
      <c r="A1036" s="525" t="s">
        <v>1062</v>
      </c>
      <c r="B1036" s="525"/>
      <c r="C1036" s="525"/>
      <c r="D1036" s="525"/>
      <c r="E1036" s="529">
        <f>E951+E958+E965+E972+E979+E986+E993+E1000+E1007+E1014+E1021+E1028</f>
        <v>115297</v>
      </c>
    </row>
    <row r="1037" spans="1:5" x14ac:dyDescent="0.2">
      <c r="A1037" s="519" t="s">
        <v>1002</v>
      </c>
      <c r="B1037" s="519" t="s">
        <v>986</v>
      </c>
      <c r="C1037" s="519">
        <v>1000</v>
      </c>
      <c r="D1037" s="519">
        <v>6810</v>
      </c>
      <c r="E1037" s="520">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19" t="s">
        <v>1002</v>
      </c>
      <c r="B1038" s="519" t="s">
        <v>986</v>
      </c>
      <c r="C1038" s="519">
        <v>2000</v>
      </c>
      <c r="D1038" s="519">
        <v>6810</v>
      </c>
      <c r="E1038" s="520">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19" t="s">
        <v>1002</v>
      </c>
      <c r="B1039" s="519" t="s">
        <v>986</v>
      </c>
      <c r="C1039" s="519">
        <v>3000</v>
      </c>
      <c r="D1039" s="519">
        <v>6810</v>
      </c>
      <c r="E1039" s="520">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19" t="s">
        <v>1002</v>
      </c>
      <c r="B1040" s="521">
        <v>700</v>
      </c>
      <c r="C1040" s="519">
        <v>1000</v>
      </c>
      <c r="D1040" s="519">
        <v>6810</v>
      </c>
      <c r="E1040" s="520">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19" t="s">
        <v>1002</v>
      </c>
      <c r="B1041" s="521">
        <v>800</v>
      </c>
      <c r="C1041" s="519">
        <v>1000</v>
      </c>
      <c r="D1041" s="519">
        <v>6810</v>
      </c>
      <c r="E1041" s="520">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19" t="s">
        <v>1002</v>
      </c>
      <c r="B1042" s="521">
        <v>900</v>
      </c>
      <c r="C1042" s="519">
        <v>1000</v>
      </c>
      <c r="D1042" s="519">
        <v>6810</v>
      </c>
      <c r="E1042" s="520">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19" t="s">
        <v>1002</v>
      </c>
      <c r="B1043" s="521">
        <v>700</v>
      </c>
      <c r="C1043" s="519">
        <v>2000</v>
      </c>
      <c r="D1043" s="519">
        <v>6810</v>
      </c>
      <c r="E1043" s="520">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19" t="s">
        <v>1002</v>
      </c>
      <c r="B1044" s="521">
        <v>800</v>
      </c>
      <c r="C1044" s="519">
        <v>2000</v>
      </c>
      <c r="D1044" s="519">
        <v>6810</v>
      </c>
      <c r="E1044" s="520">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19" t="s">
        <v>1002</v>
      </c>
      <c r="B1045" s="521">
        <v>900</v>
      </c>
      <c r="C1045" s="519">
        <v>2000</v>
      </c>
      <c r="D1045" s="519">
        <v>6810</v>
      </c>
      <c r="E1045" s="520">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19" t="s">
        <v>1002</v>
      </c>
      <c r="B1046" s="521">
        <v>700</v>
      </c>
      <c r="C1046" s="519">
        <v>3000</v>
      </c>
      <c r="D1046" s="519">
        <v>6810</v>
      </c>
      <c r="E1046" s="520">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19" t="s">
        <v>1002</v>
      </c>
      <c r="B1047" s="521">
        <v>800</v>
      </c>
      <c r="C1047" s="519">
        <v>3000</v>
      </c>
      <c r="D1047" s="519">
        <v>6810</v>
      </c>
      <c r="E1047" s="520">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19" t="s">
        <v>1002</v>
      </c>
      <c r="B1048" s="521">
        <v>900</v>
      </c>
      <c r="C1048" s="519">
        <v>3000</v>
      </c>
      <c r="D1048" s="519">
        <v>6810</v>
      </c>
      <c r="E1048" s="520">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22" t="s">
        <v>1063</v>
      </c>
      <c r="B1049" s="522"/>
      <c r="C1049" s="522"/>
      <c r="D1049" s="522"/>
      <c r="E1049" s="524">
        <f>(E1037+E1038+E1039)-(E1040+E1041+E1042+E1043+E1044+E1045+E1046+E1047+E1048)</f>
        <v>0</v>
      </c>
    </row>
    <row r="1050" spans="1:5" x14ac:dyDescent="0.2">
      <c r="A1050" s="519" t="s">
        <v>986</v>
      </c>
      <c r="B1050" s="519" t="s">
        <v>986</v>
      </c>
      <c r="C1050" s="519">
        <v>2300</v>
      </c>
      <c r="D1050" s="528">
        <v>6820</v>
      </c>
      <c r="E1050" s="520">
        <f>SUMIFS('Accounting data'!$G$2:$G$37000,'Accounting data'!$J$2:$J$37000,"23*",'Accounting data'!$K$2:$K$37000,"682*")</f>
        <v>0</v>
      </c>
    </row>
    <row r="1051" spans="1:5" x14ac:dyDescent="0.2">
      <c r="A1051" s="519" t="s">
        <v>987</v>
      </c>
      <c r="B1051" s="519" t="s">
        <v>986</v>
      </c>
      <c r="C1051" s="519">
        <v>2300</v>
      </c>
      <c r="D1051" s="528">
        <v>6820</v>
      </c>
      <c r="E1051" s="520">
        <f>SUMIFS('Accounting data'!$G$2:$G$37000,'Accounting data'!$H$2:$H$37000,"9999*",'Accounting data'!$J$2:$J$37000,"23*",'Accounting data'!$K$2:$K$37000,"682*")</f>
        <v>0</v>
      </c>
    </row>
    <row r="1052" spans="1:5" x14ac:dyDescent="0.2">
      <c r="A1052" s="519" t="s">
        <v>986</v>
      </c>
      <c r="B1052" s="519" t="s">
        <v>988</v>
      </c>
      <c r="C1052" s="519">
        <v>2300</v>
      </c>
      <c r="D1052" s="528">
        <v>6820</v>
      </c>
      <c r="E1052" s="520">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21" t="s">
        <v>987</v>
      </c>
      <c r="B1053" s="519" t="s">
        <v>988</v>
      </c>
      <c r="C1053" s="519">
        <v>2300</v>
      </c>
      <c r="D1053" s="528">
        <v>6820</v>
      </c>
      <c r="E1053" s="520">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19"/>
      <c r="B1054" s="519"/>
      <c r="C1054" s="519"/>
      <c r="D1054" s="528"/>
      <c r="E1054" s="520"/>
    </row>
    <row r="1055" spans="1:5" x14ac:dyDescent="0.2">
      <c r="A1055" s="519"/>
      <c r="B1055" s="519"/>
      <c r="C1055" s="519"/>
      <c r="D1055" s="528"/>
      <c r="E1055" s="520"/>
    </row>
    <row r="1056" spans="1:5" x14ac:dyDescent="0.2">
      <c r="A1056" s="522" t="s">
        <v>1064</v>
      </c>
      <c r="B1056" s="522"/>
      <c r="C1056" s="528"/>
      <c r="D1056" s="522"/>
      <c r="E1056" s="524">
        <f>(E1050-E1051-E1052)+(E1053+E1054+E1055)</f>
        <v>0</v>
      </c>
    </row>
    <row r="1057" spans="1:5" x14ac:dyDescent="0.2">
      <c r="A1057" s="519" t="s">
        <v>1002</v>
      </c>
      <c r="B1057" s="519" t="s">
        <v>986</v>
      </c>
      <c r="C1057" s="519">
        <v>2300</v>
      </c>
      <c r="D1057" s="519">
        <v>6820</v>
      </c>
      <c r="E1057" s="520">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19" t="s">
        <v>1002</v>
      </c>
      <c r="B1058" s="521">
        <v>700</v>
      </c>
      <c r="C1058" s="519">
        <v>2300</v>
      </c>
      <c r="D1058" s="519">
        <v>6820</v>
      </c>
      <c r="E1058" s="520">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19" t="s">
        <v>1002</v>
      </c>
      <c r="B1059" s="521">
        <v>800</v>
      </c>
      <c r="C1059" s="519">
        <v>2300</v>
      </c>
      <c r="D1059" s="519">
        <v>6820</v>
      </c>
      <c r="E1059" s="520">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19" t="s">
        <v>1002</v>
      </c>
      <c r="B1060" s="521">
        <v>900</v>
      </c>
      <c r="C1060" s="519">
        <v>2300</v>
      </c>
      <c r="D1060" s="519">
        <v>6820</v>
      </c>
      <c r="E1060" s="520">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22" t="s">
        <v>1065</v>
      </c>
      <c r="B1061" s="522"/>
      <c r="C1061" s="522"/>
      <c r="D1061" s="522"/>
      <c r="E1061" s="524">
        <f>E1057-E1058-E1059-E1060</f>
        <v>0</v>
      </c>
    </row>
    <row r="1076" spans="1:5" x14ac:dyDescent="0.2">
      <c r="A1076" s="519" t="s">
        <v>986</v>
      </c>
      <c r="B1076" s="519" t="s">
        <v>986</v>
      </c>
      <c r="C1076" s="519">
        <v>2500</v>
      </c>
      <c r="D1076" s="528">
        <v>6850</v>
      </c>
      <c r="E1076" s="520">
        <f>SUMIFS('Accounting data'!$G$2:$G$37000,'Accounting data'!$J$2:$J$37000,"25*",'Accounting data'!$K$2:$K$37000,"685*")</f>
        <v>0</v>
      </c>
    </row>
    <row r="1077" spans="1:5" x14ac:dyDescent="0.2">
      <c r="A1077" s="519" t="s">
        <v>987</v>
      </c>
      <c r="B1077" s="519" t="s">
        <v>986</v>
      </c>
      <c r="C1077" s="519">
        <v>2500</v>
      </c>
      <c r="D1077" s="528">
        <v>6850</v>
      </c>
      <c r="E1077" s="520">
        <f>SUMIFS('Accounting data'!$G$2:$G$37000,'Accounting data'!$H$2:$H$37000,"9999*",'Accounting data'!$J$2:$J$37000,"25*",'Accounting data'!$K$2:$K$37000,"685*")</f>
        <v>0</v>
      </c>
    </row>
    <row r="1078" spans="1:5" x14ac:dyDescent="0.2">
      <c r="A1078" s="519" t="s">
        <v>986</v>
      </c>
      <c r="B1078" s="519" t="s">
        <v>988</v>
      </c>
      <c r="C1078" s="519">
        <v>2500</v>
      </c>
      <c r="D1078" s="528">
        <v>6850</v>
      </c>
      <c r="E1078" s="520">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21" t="s">
        <v>987</v>
      </c>
      <c r="B1079" s="519" t="s">
        <v>988</v>
      </c>
      <c r="C1079" s="519">
        <v>2500</v>
      </c>
      <c r="D1079" s="528">
        <v>6850</v>
      </c>
      <c r="E1079" s="520">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19"/>
      <c r="B1080" s="519"/>
      <c r="C1080" s="519"/>
      <c r="D1080" s="528"/>
      <c r="E1080" s="520"/>
    </row>
    <row r="1081" spans="1:5" x14ac:dyDescent="0.2">
      <c r="A1081" s="519"/>
      <c r="B1081" s="519"/>
      <c r="C1081" s="519"/>
      <c r="D1081" s="528"/>
      <c r="E1081" s="520"/>
    </row>
    <row r="1082" spans="1:5" x14ac:dyDescent="0.2">
      <c r="A1082" s="522" t="s">
        <v>1066</v>
      </c>
      <c r="B1082" s="522"/>
      <c r="C1082" s="522"/>
      <c r="D1082" s="522"/>
      <c r="E1082" s="524">
        <f>(E1076-E1077-E1078)+(E1079+E1080+E1081)</f>
        <v>0</v>
      </c>
    </row>
    <row r="1105" spans="1:5" x14ac:dyDescent="0.2">
      <c r="A1105" s="519" t="s">
        <v>1002</v>
      </c>
      <c r="B1105" s="519" t="s">
        <v>986</v>
      </c>
      <c r="C1105" s="528">
        <v>2500</v>
      </c>
      <c r="D1105" s="519">
        <v>6850</v>
      </c>
      <c r="E1105" s="520">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19" t="s">
        <v>1002</v>
      </c>
      <c r="B1106" s="521">
        <v>700</v>
      </c>
      <c r="C1106" s="519">
        <v>2500</v>
      </c>
      <c r="D1106" s="519">
        <v>6850</v>
      </c>
      <c r="E1106" s="520">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19" t="s">
        <v>1002</v>
      </c>
      <c r="B1107" s="521">
        <v>800</v>
      </c>
      <c r="C1107" s="519">
        <v>2500</v>
      </c>
      <c r="D1107" s="519">
        <v>6850</v>
      </c>
      <c r="E1107" s="520">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19" t="s">
        <v>1002</v>
      </c>
      <c r="B1108" s="521">
        <v>900</v>
      </c>
      <c r="C1108" s="519">
        <v>2500</v>
      </c>
      <c r="D1108" s="519">
        <v>6850</v>
      </c>
      <c r="E1108" s="520">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22" t="s">
        <v>1067</v>
      </c>
      <c r="B1109" s="522"/>
      <c r="C1109" s="522"/>
      <c r="D1109" s="522"/>
      <c r="E1109" s="524">
        <f>E1105-(E1106+E1107+E1108)</f>
        <v>0</v>
      </c>
    </row>
    <row r="1110" spans="1:5" x14ac:dyDescent="0.2">
      <c r="A1110" s="519" t="s">
        <v>986</v>
      </c>
      <c r="B1110" s="519" t="s">
        <v>986</v>
      </c>
      <c r="C1110" s="519">
        <v>1000</v>
      </c>
      <c r="D1110" s="528">
        <v>6890</v>
      </c>
      <c r="E1110" s="520">
        <f>SUMIFS('Accounting data'!$G$2:$G$37000,'Accounting data'!$J$2:$J$37000,"1*",'Accounting data'!$K$2:$K$37000,"689*")</f>
        <v>0</v>
      </c>
    </row>
    <row r="1111" spans="1:5" x14ac:dyDescent="0.2">
      <c r="A1111" s="519" t="s">
        <v>987</v>
      </c>
      <c r="B1111" s="519" t="s">
        <v>986</v>
      </c>
      <c r="C1111" s="519">
        <v>1000</v>
      </c>
      <c r="D1111" s="528">
        <v>6890</v>
      </c>
      <c r="E1111" s="520">
        <f>SUMIFS('Accounting data'!$G$2:$G$37000,'Accounting data'!$H$2:$H$37000,"9999*",'Accounting data'!$J$2:$J$37000,"1*",'Accounting data'!$K$2:$K$37000,"689*")</f>
        <v>0</v>
      </c>
    </row>
    <row r="1112" spans="1:5" x14ac:dyDescent="0.2">
      <c r="A1112" s="519" t="s">
        <v>986</v>
      </c>
      <c r="B1112" s="519" t="s">
        <v>988</v>
      </c>
      <c r="C1112" s="519">
        <v>1000</v>
      </c>
      <c r="D1112" s="528">
        <v>6890</v>
      </c>
      <c r="E1112" s="520">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21" t="s">
        <v>987</v>
      </c>
      <c r="B1113" s="519" t="s">
        <v>988</v>
      </c>
      <c r="C1113" s="519">
        <v>1000</v>
      </c>
      <c r="D1113" s="528">
        <v>6890</v>
      </c>
      <c r="E1113" s="520">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19"/>
      <c r="B1114" s="519"/>
      <c r="C1114" s="519"/>
      <c r="D1114" s="528"/>
      <c r="E1114" s="520"/>
    </row>
    <row r="1115" spans="1:5" x14ac:dyDescent="0.2">
      <c r="A1115" s="519"/>
      <c r="B1115" s="519"/>
      <c r="C1115" s="519"/>
      <c r="D1115" s="528"/>
      <c r="E1115" s="520"/>
    </row>
    <row r="1116" spans="1:5" x14ac:dyDescent="0.2">
      <c r="A1116" s="522" t="s">
        <v>1068</v>
      </c>
      <c r="B1116" s="522"/>
      <c r="C1116" s="522"/>
      <c r="D1116" s="522"/>
      <c r="E1116" s="524">
        <f>(E1110-E1111-E1112)+(E1113+E1114+E1115)</f>
        <v>0</v>
      </c>
    </row>
    <row r="1117" spans="1:5" x14ac:dyDescent="0.2">
      <c r="A1117" s="519" t="s">
        <v>986</v>
      </c>
      <c r="B1117" s="519" t="s">
        <v>986</v>
      </c>
      <c r="C1117" s="519">
        <v>2100</v>
      </c>
      <c r="D1117" s="528">
        <v>6890</v>
      </c>
      <c r="E1117" s="520">
        <f>SUMIFS('Accounting data'!$G$2:$G$37000,'Accounting data'!$J$2:$J$37000,"21*",'Accounting data'!$K$2:$K$37000,"689*")</f>
        <v>5</v>
      </c>
    </row>
    <row r="1118" spans="1:5" x14ac:dyDescent="0.2">
      <c r="A1118" s="519" t="s">
        <v>987</v>
      </c>
      <c r="B1118" s="519" t="s">
        <v>986</v>
      </c>
      <c r="C1118" s="519">
        <v>2100</v>
      </c>
      <c r="D1118" s="528">
        <v>6890</v>
      </c>
      <c r="E1118" s="520">
        <f>SUMIFS('Accounting data'!$G$2:$G$37000,'Accounting data'!$H$2:$H$37000,"9999*",'Accounting data'!$J$2:$J$37000,"21*",'Accounting data'!$K$2:$K$37000,"689*")</f>
        <v>0</v>
      </c>
    </row>
    <row r="1119" spans="1:5" x14ac:dyDescent="0.2">
      <c r="A1119" s="519" t="s">
        <v>986</v>
      </c>
      <c r="B1119" s="519" t="s">
        <v>988</v>
      </c>
      <c r="C1119" s="519">
        <v>2100</v>
      </c>
      <c r="D1119" s="528">
        <v>6890</v>
      </c>
      <c r="E1119" s="520">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21" t="s">
        <v>987</v>
      </c>
      <c r="B1120" s="519" t="s">
        <v>988</v>
      </c>
      <c r="C1120" s="519">
        <v>2100</v>
      </c>
      <c r="D1120" s="528">
        <v>6890</v>
      </c>
      <c r="E1120" s="520">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3" spans="1:5" x14ac:dyDescent="0.2">
      <c r="A1123" s="522" t="s">
        <v>1069</v>
      </c>
      <c r="B1123" s="522"/>
      <c r="C1123" s="522"/>
      <c r="D1123" s="522"/>
      <c r="E1123" s="524">
        <f>(E1117-E1118-E1119)+(E1120+E1121+E1122)</f>
        <v>5</v>
      </c>
    </row>
    <row r="1124" spans="1:5" x14ac:dyDescent="0.2">
      <c r="A1124" s="519" t="s">
        <v>986</v>
      </c>
      <c r="B1124" s="519" t="s">
        <v>986</v>
      </c>
      <c r="C1124" s="519">
        <v>2200</v>
      </c>
      <c r="D1124" s="528">
        <v>6890</v>
      </c>
      <c r="E1124" s="520">
        <f>SUMIFS('Accounting data'!$G$2:$G$37000,'Accounting data'!$J$2:$J$37000,"22*",'Accounting data'!$K$2:$K$37000,"689*")</f>
        <v>0</v>
      </c>
    </row>
    <row r="1125" spans="1:5" x14ac:dyDescent="0.2">
      <c r="A1125" s="519" t="s">
        <v>987</v>
      </c>
      <c r="B1125" s="519" t="s">
        <v>986</v>
      </c>
      <c r="C1125" s="519">
        <v>2200</v>
      </c>
      <c r="D1125" s="528">
        <v>6890</v>
      </c>
      <c r="E1125" s="520">
        <f>SUMIFS('Accounting data'!$G$2:$G$37000,'Accounting data'!$H$2:$H$37000,"9999*",'Accounting data'!$J$2:$J$37000,"22*",'Accounting data'!$K$2:$K$37000,"689*")</f>
        <v>0</v>
      </c>
    </row>
    <row r="1126" spans="1:5" x14ac:dyDescent="0.2">
      <c r="A1126" s="519" t="s">
        <v>986</v>
      </c>
      <c r="B1126" s="519" t="s">
        <v>988</v>
      </c>
      <c r="C1126" s="519">
        <v>2200</v>
      </c>
      <c r="D1126" s="528">
        <v>6890</v>
      </c>
      <c r="E1126" s="520">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21" t="s">
        <v>987</v>
      </c>
      <c r="B1127" s="519" t="s">
        <v>988</v>
      </c>
      <c r="C1127" s="519">
        <v>2200</v>
      </c>
      <c r="D1127" s="528">
        <v>6890</v>
      </c>
      <c r="E1127" s="520">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19"/>
      <c r="B1128" s="519"/>
      <c r="C1128" s="519"/>
      <c r="D1128" s="528"/>
      <c r="E1128" s="520"/>
    </row>
    <row r="1129" spans="1:5" x14ac:dyDescent="0.2">
      <c r="A1129" s="519"/>
      <c r="B1129" s="519"/>
      <c r="C1129" s="519"/>
      <c r="D1129" s="528"/>
      <c r="E1129" s="520"/>
    </row>
    <row r="1130" spans="1:5" x14ac:dyDescent="0.2">
      <c r="A1130" s="522" t="s">
        <v>1070</v>
      </c>
      <c r="B1130" s="522"/>
      <c r="C1130" s="522"/>
      <c r="D1130" s="522"/>
      <c r="E1130" s="524">
        <f>(E1124-E1125-E1126)+(E1127+E1128+E1129)</f>
        <v>0</v>
      </c>
    </row>
    <row r="1131" spans="1:5" x14ac:dyDescent="0.2">
      <c r="A1131" s="519" t="s">
        <v>986</v>
      </c>
      <c r="B1131" s="519" t="s">
        <v>986</v>
      </c>
      <c r="C1131" s="519">
        <v>2300</v>
      </c>
      <c r="D1131" s="528">
        <v>6890</v>
      </c>
      <c r="E1131" s="520">
        <f>SUMIFS('Accounting data'!$G$2:$G$37000,'Accounting data'!$J$2:$J$37000,"23*",'Accounting data'!$K$2:$K$37000,"689*")</f>
        <v>-12</v>
      </c>
    </row>
    <row r="1132" spans="1:5" x14ac:dyDescent="0.2">
      <c r="A1132" s="519" t="s">
        <v>987</v>
      </c>
      <c r="B1132" s="519" t="s">
        <v>986</v>
      </c>
      <c r="C1132" s="519">
        <v>2300</v>
      </c>
      <c r="D1132" s="528">
        <v>6890</v>
      </c>
      <c r="E1132" s="520">
        <f>SUMIFS('Accounting data'!$G$2:$G$37000,'Accounting data'!$H$2:$H$37000,"9999*",'Accounting data'!$J$2:$J$37000,"23*",'Accounting data'!$K$2:$K$37000,"689*")</f>
        <v>0</v>
      </c>
    </row>
    <row r="1133" spans="1:5" x14ac:dyDescent="0.2">
      <c r="A1133" s="519" t="s">
        <v>986</v>
      </c>
      <c r="B1133" s="519" t="s">
        <v>988</v>
      </c>
      <c r="C1133" s="519">
        <v>2300</v>
      </c>
      <c r="D1133" s="528">
        <v>6890</v>
      </c>
      <c r="E1133" s="520">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21" t="s">
        <v>987</v>
      </c>
      <c r="B1134" s="519" t="s">
        <v>988</v>
      </c>
      <c r="C1134" s="519">
        <v>2300</v>
      </c>
      <c r="D1134" s="528">
        <v>6890</v>
      </c>
      <c r="E1134" s="520">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7" spans="1:5" x14ac:dyDescent="0.2">
      <c r="A1137" s="522" t="s">
        <v>1071</v>
      </c>
      <c r="B1137" s="522"/>
      <c r="C1137" s="522"/>
      <c r="D1137" s="522"/>
      <c r="E1137" s="524">
        <f>(E1131-E1132-E1133)+(E1134+E1135+E1136)</f>
        <v>-12</v>
      </c>
    </row>
    <row r="1138" spans="1:5" x14ac:dyDescent="0.2">
      <c r="A1138" s="519" t="s">
        <v>986</v>
      </c>
      <c r="B1138" s="519" t="s">
        <v>986</v>
      </c>
      <c r="C1138" s="519">
        <v>2400</v>
      </c>
      <c r="D1138" s="528">
        <v>6890</v>
      </c>
      <c r="E1138" s="520">
        <f>SUMIFS('Accounting data'!$G$2:$G$37000,'Accounting data'!$J$2:$J$37000,"24*",'Accounting data'!$K$2:$K$37000,"689*")</f>
        <v>0</v>
      </c>
    </row>
    <row r="1139" spans="1:5" x14ac:dyDescent="0.2">
      <c r="A1139" s="519" t="s">
        <v>987</v>
      </c>
      <c r="B1139" s="519" t="s">
        <v>986</v>
      </c>
      <c r="C1139" s="519">
        <v>2400</v>
      </c>
      <c r="D1139" s="528">
        <v>6890</v>
      </c>
      <c r="E1139" s="520">
        <f>SUMIFS('Accounting data'!$G$2:$G$37000,'Accounting data'!$H$2:$H$37000,"9999*",'Accounting data'!$J$2:$J$37000,"24*",'Accounting data'!$K$2:$K$37000,"689*")</f>
        <v>0</v>
      </c>
    </row>
    <row r="1140" spans="1:5" x14ac:dyDescent="0.2">
      <c r="A1140" s="519" t="s">
        <v>986</v>
      </c>
      <c r="B1140" s="519" t="s">
        <v>988</v>
      </c>
      <c r="C1140" s="519">
        <v>2400</v>
      </c>
      <c r="D1140" s="528">
        <v>6890</v>
      </c>
      <c r="E1140" s="520">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21" t="s">
        <v>987</v>
      </c>
      <c r="B1141" s="519" t="s">
        <v>988</v>
      </c>
      <c r="C1141" s="519">
        <v>2400</v>
      </c>
      <c r="D1141" s="528">
        <v>6890</v>
      </c>
      <c r="E1141" s="520">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19"/>
      <c r="B1142" s="519"/>
      <c r="C1142" s="519"/>
      <c r="D1142" s="528"/>
      <c r="E1142" s="520"/>
    </row>
    <row r="1143" spans="1:5" x14ac:dyDescent="0.2">
      <c r="A1143" s="519"/>
      <c r="B1143" s="519"/>
      <c r="C1143" s="519"/>
      <c r="D1143" s="528"/>
      <c r="E1143" s="520"/>
    </row>
    <row r="1144" spans="1:5" x14ac:dyDescent="0.2">
      <c r="A1144" s="522" t="s">
        <v>1072</v>
      </c>
      <c r="B1144" s="522"/>
      <c r="C1144" s="522"/>
      <c r="D1144" s="522"/>
      <c r="E1144" s="524">
        <f>(E1138-E1139-E1140)+(E1141+E1142+E1143)</f>
        <v>0</v>
      </c>
    </row>
    <row r="1145" spans="1:5" x14ac:dyDescent="0.2">
      <c r="A1145" s="519" t="s">
        <v>986</v>
      </c>
      <c r="B1145" s="519" t="s">
        <v>986</v>
      </c>
      <c r="C1145" s="519">
        <v>2500</v>
      </c>
      <c r="D1145" s="528">
        <v>6890</v>
      </c>
      <c r="E1145" s="520">
        <f>SUMIFS('Accounting data'!$G$2:$G$37000,'Accounting data'!$J$2:$J$37000,"25*",'Accounting data'!$K$2:$K$37000,"689*")</f>
        <v>-7</v>
      </c>
    </row>
    <row r="1146" spans="1:5" x14ac:dyDescent="0.2">
      <c r="A1146" s="519" t="s">
        <v>987</v>
      </c>
      <c r="B1146" s="519" t="s">
        <v>986</v>
      </c>
      <c r="C1146" s="519">
        <v>2500</v>
      </c>
      <c r="D1146" s="528">
        <v>6890</v>
      </c>
      <c r="E1146" s="520">
        <f>SUMIFS('Accounting data'!$G$2:$G$37000,'Accounting data'!$H$2:$H$37000,"9999*",'Accounting data'!$J$2:$J$37000,"25*",'Accounting data'!$K$2:$K$37000,"689*")</f>
        <v>0</v>
      </c>
    </row>
    <row r="1147" spans="1:5" x14ac:dyDescent="0.2">
      <c r="A1147" s="519" t="s">
        <v>986</v>
      </c>
      <c r="B1147" s="519" t="s">
        <v>988</v>
      </c>
      <c r="C1147" s="519">
        <v>2500</v>
      </c>
      <c r="D1147" s="528">
        <v>6890</v>
      </c>
      <c r="E1147" s="520">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21" t="s">
        <v>987</v>
      </c>
      <c r="B1148" s="519" t="s">
        <v>988</v>
      </c>
      <c r="C1148" s="519">
        <v>2500</v>
      </c>
      <c r="D1148" s="528">
        <v>6890</v>
      </c>
      <c r="E1148" s="520">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19"/>
      <c r="B1149" s="519"/>
      <c r="C1149" s="519"/>
      <c r="D1149" s="528"/>
      <c r="E1149" s="520"/>
    </row>
    <row r="1150" spans="1:5" x14ac:dyDescent="0.2">
      <c r="A1150" s="519"/>
      <c r="B1150" s="519"/>
      <c r="C1150" s="519"/>
      <c r="D1150" s="528"/>
      <c r="E1150" s="520"/>
    </row>
    <row r="1151" spans="1:5" x14ac:dyDescent="0.2">
      <c r="A1151" s="522" t="s">
        <v>1073</v>
      </c>
      <c r="B1151" s="522"/>
      <c r="C1151" s="522"/>
      <c r="D1151" s="522"/>
      <c r="E1151" s="524">
        <f>(E1145-E1146-E1147)+(E1148+E1149+E1150)</f>
        <v>-7</v>
      </c>
    </row>
    <row r="1152" spans="1:5" x14ac:dyDescent="0.2">
      <c r="A1152" s="519" t="s">
        <v>986</v>
      </c>
      <c r="B1152" s="519" t="s">
        <v>986</v>
      </c>
      <c r="C1152" s="519">
        <v>2900</v>
      </c>
      <c r="D1152" s="528">
        <v>6890</v>
      </c>
      <c r="E1152" s="520">
        <f>SUMIFS('Accounting data'!$G$2:$G$37000,'Accounting data'!$J$2:$J$37000,"29*",'Accounting data'!$K$2:$K$37000,"689*")</f>
        <v>0</v>
      </c>
    </row>
    <row r="1153" spans="1:5" x14ac:dyDescent="0.2">
      <c r="A1153" s="519" t="s">
        <v>987</v>
      </c>
      <c r="B1153" s="519" t="s">
        <v>986</v>
      </c>
      <c r="C1153" s="519">
        <v>2900</v>
      </c>
      <c r="D1153" s="528">
        <v>6890</v>
      </c>
      <c r="E1153" s="520">
        <f>SUMIFS('Accounting data'!$G$2:$G$37000,'Accounting data'!$H$2:$H$37000,"9999*",'Accounting data'!$J$2:$J$37000,"29*",'Accounting data'!$K$2:$K$37000,"689*")</f>
        <v>0</v>
      </c>
    </row>
    <row r="1154" spans="1:5" x14ac:dyDescent="0.2">
      <c r="A1154" s="519" t="s">
        <v>986</v>
      </c>
      <c r="B1154" s="519" t="s">
        <v>988</v>
      </c>
      <c r="C1154" s="519">
        <v>2900</v>
      </c>
      <c r="D1154" s="528">
        <v>6890</v>
      </c>
      <c r="E1154" s="520">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21" t="s">
        <v>987</v>
      </c>
      <c r="B1155" s="519" t="s">
        <v>988</v>
      </c>
      <c r="C1155" s="519">
        <v>2900</v>
      </c>
      <c r="D1155" s="528">
        <v>6890</v>
      </c>
      <c r="E1155" s="520">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19"/>
      <c r="B1156" s="519"/>
      <c r="C1156" s="519"/>
      <c r="D1156" s="528"/>
      <c r="E1156" s="520"/>
    </row>
    <row r="1157" spans="1:5" x14ac:dyDescent="0.2">
      <c r="A1157" s="519"/>
      <c r="B1157" s="519"/>
      <c r="C1157" s="519"/>
      <c r="D1157" s="528"/>
      <c r="E1157" s="520"/>
    </row>
    <row r="1158" spans="1:5" x14ac:dyDescent="0.2">
      <c r="A1158" s="522" t="s">
        <v>1074</v>
      </c>
      <c r="B1158" s="522"/>
      <c r="C1158" s="522"/>
      <c r="D1158" s="522"/>
      <c r="E1158" s="524">
        <f>(E1152-E1153-E1154)+(E1155+E1156+E1157)</f>
        <v>0</v>
      </c>
    </row>
    <row r="1159" spans="1:5" x14ac:dyDescent="0.2">
      <c r="A1159" s="519" t="s">
        <v>986</v>
      </c>
      <c r="B1159" s="519" t="s">
        <v>986</v>
      </c>
      <c r="C1159" s="519">
        <v>2600</v>
      </c>
      <c r="D1159" s="528">
        <v>6890</v>
      </c>
      <c r="E1159" s="520">
        <f>SUMIFS('Accounting data'!$G$2:$G$37000,'Accounting data'!$J$2:$J$37000,"26*",'Accounting data'!$K$2:$K$37000,"689*")</f>
        <v>0</v>
      </c>
    </row>
    <row r="1160" spans="1:5" x14ac:dyDescent="0.2">
      <c r="A1160" s="519" t="s">
        <v>987</v>
      </c>
      <c r="B1160" s="519" t="s">
        <v>986</v>
      </c>
      <c r="C1160" s="519">
        <v>2600</v>
      </c>
      <c r="D1160" s="528">
        <v>6890</v>
      </c>
      <c r="E1160" s="520">
        <f>SUMIFS('Accounting data'!$G$2:$G$37000,'Accounting data'!$H$2:$H$37000,"9999*",'Accounting data'!$J$2:$J$37000,"26*",'Accounting data'!$K$2:$K$37000,"689*")</f>
        <v>0</v>
      </c>
    </row>
    <row r="1161" spans="1:5" x14ac:dyDescent="0.2">
      <c r="A1161" s="519" t="s">
        <v>986</v>
      </c>
      <c r="B1161" s="519" t="s">
        <v>988</v>
      </c>
      <c r="C1161" s="519">
        <v>2600</v>
      </c>
      <c r="D1161" s="528">
        <v>6890</v>
      </c>
      <c r="E1161" s="520">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21" t="s">
        <v>987</v>
      </c>
      <c r="B1162" s="519" t="s">
        <v>988</v>
      </c>
      <c r="C1162" s="519">
        <v>2600</v>
      </c>
      <c r="D1162" s="528">
        <v>6890</v>
      </c>
      <c r="E1162" s="520">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19"/>
      <c r="B1163" s="519"/>
      <c r="C1163" s="519"/>
      <c r="D1163" s="528"/>
      <c r="E1163" s="520"/>
    </row>
    <row r="1164" spans="1:5" x14ac:dyDescent="0.2">
      <c r="A1164" s="519"/>
      <c r="B1164" s="519"/>
      <c r="C1164" s="519"/>
      <c r="D1164" s="528"/>
      <c r="E1164" s="520"/>
    </row>
    <row r="1165" spans="1:5" x14ac:dyDescent="0.2">
      <c r="A1165" s="522" t="s">
        <v>1075</v>
      </c>
      <c r="B1165" s="522"/>
      <c r="C1165" s="522"/>
      <c r="D1165" s="522"/>
      <c r="E1165" s="524">
        <f>(E1159-E1160-E1161)+(E1162+E1163+E1164)</f>
        <v>0</v>
      </c>
    </row>
    <row r="1166" spans="1:5" x14ac:dyDescent="0.2">
      <c r="A1166" s="519" t="s">
        <v>986</v>
      </c>
      <c r="B1166" s="519" t="s">
        <v>986</v>
      </c>
      <c r="C1166" s="519">
        <v>2700</v>
      </c>
      <c r="D1166" s="528">
        <v>6890</v>
      </c>
      <c r="E1166" s="520">
        <f>SUMIFS('Accounting data'!$G$2:$G$37000,'Accounting data'!$J$2:$J$37000,"27*",'Accounting data'!$K$2:$K$37000,"689*")</f>
        <v>0</v>
      </c>
    </row>
    <row r="1167" spans="1:5" x14ac:dyDescent="0.2">
      <c r="A1167" s="519" t="s">
        <v>987</v>
      </c>
      <c r="B1167" s="519" t="s">
        <v>986</v>
      </c>
      <c r="C1167" s="519">
        <v>2700</v>
      </c>
      <c r="D1167" s="528">
        <v>6890</v>
      </c>
      <c r="E1167" s="520">
        <f>SUMIFS('Accounting data'!$G$2:$G$37000,'Accounting data'!$H$2:$H$37000,"9999*",'Accounting data'!$J$2:$J$37000,"27*",'Accounting data'!$K$2:$K$37000,"689*")</f>
        <v>0</v>
      </c>
    </row>
    <row r="1168" spans="1:5" x14ac:dyDescent="0.2">
      <c r="A1168" s="519" t="s">
        <v>986</v>
      </c>
      <c r="B1168" s="519" t="s">
        <v>988</v>
      </c>
      <c r="C1168" s="519">
        <v>2700</v>
      </c>
      <c r="D1168" s="528">
        <v>6890</v>
      </c>
      <c r="E1168" s="520">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21" t="s">
        <v>987</v>
      </c>
      <c r="B1169" s="519" t="s">
        <v>988</v>
      </c>
      <c r="C1169" s="519">
        <v>2700</v>
      </c>
      <c r="D1169" s="528">
        <v>6890</v>
      </c>
      <c r="E1169" s="520">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19"/>
      <c r="B1170" s="519"/>
      <c r="C1170" s="519"/>
      <c r="D1170" s="528"/>
      <c r="E1170" s="520"/>
    </row>
    <row r="1171" spans="1:5" x14ac:dyDescent="0.2">
      <c r="A1171" s="519"/>
      <c r="B1171" s="519"/>
      <c r="C1171" s="519"/>
      <c r="D1171" s="528"/>
      <c r="E1171" s="520"/>
    </row>
    <row r="1172" spans="1:5" x14ac:dyDescent="0.2">
      <c r="A1172" s="522" t="s">
        <v>1076</v>
      </c>
      <c r="B1172" s="522"/>
      <c r="C1172" s="522"/>
      <c r="D1172" s="522"/>
      <c r="E1172" s="524">
        <f>(E1166-E1167-E1168)+(E1169+E1170+E1171)</f>
        <v>0</v>
      </c>
    </row>
    <row r="1173" spans="1:5" x14ac:dyDescent="0.2">
      <c r="A1173" s="519" t="s">
        <v>986</v>
      </c>
      <c r="B1173" s="519" t="s">
        <v>986</v>
      </c>
      <c r="C1173" s="519">
        <v>3100</v>
      </c>
      <c r="D1173" s="528">
        <v>6890</v>
      </c>
      <c r="E1173" s="520">
        <f>SUMIFS('Accounting data'!$G$2:$G$37000,'Accounting data'!$J$2:$J$37000,"31*",'Accounting data'!$K$2:$K$37000,"689*")</f>
        <v>0</v>
      </c>
    </row>
    <row r="1174" spans="1:5" x14ac:dyDescent="0.2">
      <c r="A1174" s="519" t="s">
        <v>987</v>
      </c>
      <c r="B1174" s="519" t="s">
        <v>986</v>
      </c>
      <c r="C1174" s="519">
        <v>3100</v>
      </c>
      <c r="D1174" s="528">
        <v>6890</v>
      </c>
      <c r="E1174" s="520">
        <f>SUMIFS('Accounting data'!$G$2:$G$37000,'Accounting data'!$H$2:$H$37000,"9999*",'Accounting data'!$J$2:$J$37000,"31*",'Accounting data'!$K$2:$K$37000,"689*")</f>
        <v>0</v>
      </c>
    </row>
    <row r="1175" spans="1:5" x14ac:dyDescent="0.2">
      <c r="A1175" s="519" t="s">
        <v>986</v>
      </c>
      <c r="B1175" s="519" t="s">
        <v>988</v>
      </c>
      <c r="C1175" s="519">
        <v>3100</v>
      </c>
      <c r="D1175" s="528">
        <v>6890</v>
      </c>
      <c r="E1175" s="520">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21" t="s">
        <v>987</v>
      </c>
      <c r="B1176" s="519" t="s">
        <v>988</v>
      </c>
      <c r="C1176" s="519">
        <v>3100</v>
      </c>
      <c r="D1176" s="528">
        <v>6890</v>
      </c>
      <c r="E1176" s="520">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19"/>
      <c r="B1177" s="519"/>
      <c r="C1177" s="519"/>
      <c r="D1177" s="528"/>
      <c r="E1177" s="520"/>
    </row>
    <row r="1178" spans="1:5" x14ac:dyDescent="0.2">
      <c r="A1178" s="519"/>
      <c r="B1178" s="519"/>
      <c r="C1178" s="519"/>
      <c r="D1178" s="528"/>
      <c r="E1178" s="520"/>
    </row>
    <row r="1179" spans="1:5" x14ac:dyDescent="0.2">
      <c r="A1179" s="522" t="s">
        <v>1077</v>
      </c>
      <c r="B1179" s="522"/>
      <c r="C1179" s="522"/>
      <c r="D1179" s="522"/>
      <c r="E1179" s="524">
        <f>(E1173-E1174-E1175)+(E1176+E1177+E1178)</f>
        <v>0</v>
      </c>
    </row>
    <row r="1186" spans="1:5" x14ac:dyDescent="0.2">
      <c r="A1186" s="522" t="s">
        <v>1078</v>
      </c>
      <c r="B1186" s="522"/>
      <c r="C1186" s="522"/>
      <c r="D1186" s="522"/>
      <c r="E1186" s="524">
        <f>(E1180-E1181-E1182)+(E1183+E1184+E1185)</f>
        <v>0</v>
      </c>
    </row>
    <row r="1187" spans="1:5" x14ac:dyDescent="0.2">
      <c r="A1187" s="519" t="s">
        <v>986</v>
      </c>
      <c r="B1187" s="519" t="s">
        <v>986</v>
      </c>
      <c r="C1187" s="519">
        <v>3400</v>
      </c>
      <c r="D1187" s="528">
        <v>6890</v>
      </c>
      <c r="E1187" s="520">
        <f>SUMIFS('Accounting data'!$G$2:$G$37000,'Accounting data'!$J$2:$J$37000,"34*",'Accounting data'!$K$2:$K$37000,"689*")</f>
        <v>0</v>
      </c>
    </row>
    <row r="1188" spans="1:5" x14ac:dyDescent="0.2">
      <c r="A1188" s="519" t="s">
        <v>987</v>
      </c>
      <c r="B1188" s="519" t="s">
        <v>986</v>
      </c>
      <c r="C1188" s="519">
        <v>3400</v>
      </c>
      <c r="D1188" s="528">
        <v>6890</v>
      </c>
      <c r="E1188" s="520">
        <f>SUMIFS('Accounting data'!$G$2:$G$37000,'Accounting data'!$H$2:$H$37000,"9999*",'Accounting data'!$J$2:$J$37000,"34*",'Accounting data'!$K$2:$K$37000,"689*")</f>
        <v>0</v>
      </c>
    </row>
    <row r="1189" spans="1:5" x14ac:dyDescent="0.2">
      <c r="A1189" s="519" t="s">
        <v>986</v>
      </c>
      <c r="B1189" s="519" t="s">
        <v>988</v>
      </c>
      <c r="C1189" s="519">
        <v>3400</v>
      </c>
      <c r="D1189" s="528">
        <v>6890</v>
      </c>
      <c r="E1189" s="520">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21" t="s">
        <v>987</v>
      </c>
      <c r="B1190" s="519" t="s">
        <v>988</v>
      </c>
      <c r="C1190" s="519">
        <v>3400</v>
      </c>
      <c r="D1190" s="528">
        <v>6890</v>
      </c>
      <c r="E1190" s="520">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19"/>
      <c r="B1191" s="519"/>
      <c r="C1191" s="519"/>
      <c r="D1191" s="528"/>
      <c r="E1191" s="520"/>
    </row>
    <row r="1192" spans="1:5" x14ac:dyDescent="0.2">
      <c r="A1192" s="519"/>
      <c r="B1192" s="519"/>
      <c r="C1192" s="519"/>
      <c r="D1192" s="528"/>
      <c r="E1192" s="520"/>
    </row>
    <row r="1193" spans="1:5" x14ac:dyDescent="0.2">
      <c r="A1193" s="522" t="s">
        <v>1079</v>
      </c>
      <c r="B1193" s="522"/>
      <c r="C1193" s="522"/>
      <c r="D1193" s="522"/>
      <c r="E1193" s="524">
        <f>(E1187-E1188-E1189)+(E1190+E1191+E1192)</f>
        <v>0</v>
      </c>
    </row>
    <row r="1194" spans="1:5" x14ac:dyDescent="0.2">
      <c r="A1194" s="519" t="s">
        <v>986</v>
      </c>
      <c r="B1194" s="519" t="s">
        <v>986</v>
      </c>
      <c r="C1194" s="519">
        <v>4000</v>
      </c>
      <c r="D1194" s="528">
        <v>6890</v>
      </c>
      <c r="E1194" s="520">
        <f>SUMIFS('Accounting data'!$G$2:$G$37000,'Accounting data'!$J$2:$J$37000,"4*",'Accounting data'!$K$2:$K$37000,"689*")</f>
        <v>0</v>
      </c>
    </row>
    <row r="1195" spans="1:5" x14ac:dyDescent="0.2">
      <c r="A1195" s="519" t="s">
        <v>987</v>
      </c>
      <c r="B1195" s="519" t="s">
        <v>986</v>
      </c>
      <c r="C1195" s="519">
        <v>4000</v>
      </c>
      <c r="D1195" s="528">
        <v>6890</v>
      </c>
      <c r="E1195" s="520">
        <f>SUMIFS('Accounting data'!$G$2:$G$37000,'Accounting data'!$H$2:$H$37000,"9999*",'Accounting data'!$J$2:$J$37000,"4*",'Accounting data'!$K$2:$K$37000,"689*")</f>
        <v>0</v>
      </c>
    </row>
    <row r="1196" spans="1:5" x14ac:dyDescent="0.2">
      <c r="A1196" s="519" t="s">
        <v>986</v>
      </c>
      <c r="B1196" s="519" t="s">
        <v>988</v>
      </c>
      <c r="C1196" s="519">
        <v>4000</v>
      </c>
      <c r="D1196" s="528">
        <v>6890</v>
      </c>
      <c r="E1196" s="520">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21" t="s">
        <v>987</v>
      </c>
      <c r="B1197" s="519" t="s">
        <v>988</v>
      </c>
      <c r="C1197" s="519">
        <v>4000</v>
      </c>
      <c r="D1197" s="528">
        <v>6890</v>
      </c>
      <c r="E1197" s="520">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19"/>
      <c r="B1198" s="519"/>
      <c r="C1198" s="519"/>
      <c r="D1198" s="528"/>
      <c r="E1198" s="520"/>
    </row>
    <row r="1199" spans="1:5" x14ac:dyDescent="0.2">
      <c r="A1199" s="519"/>
      <c r="B1199" s="519"/>
      <c r="C1199" s="519"/>
      <c r="D1199" s="528"/>
      <c r="E1199" s="520"/>
    </row>
    <row r="1200" spans="1:5" x14ac:dyDescent="0.2">
      <c r="A1200" s="522" t="s">
        <v>1080</v>
      </c>
      <c r="B1200" s="522"/>
      <c r="C1200" s="522"/>
      <c r="D1200" s="522"/>
      <c r="E1200" s="524">
        <f>(E1194-E1195-E1196)+(E1197+E1198+E1199)</f>
        <v>0</v>
      </c>
    </row>
    <row r="1201" spans="1:5" x14ac:dyDescent="0.2">
      <c r="A1201" s="525" t="s">
        <v>1081</v>
      </c>
      <c r="B1201" s="525"/>
      <c r="C1201" s="525"/>
      <c r="D1201" s="525"/>
      <c r="E1201" s="529">
        <f>E1116+E1123+E1130+E1137+E1144+E1151+E1158+E1165+E1172+E1179+E1186+E1193</f>
        <v>-14</v>
      </c>
    </row>
    <row r="1202" spans="1:5" x14ac:dyDescent="0.2">
      <c r="A1202" s="519" t="s">
        <v>1002</v>
      </c>
      <c r="B1202" s="519" t="s">
        <v>986</v>
      </c>
      <c r="C1202" s="519">
        <v>1000</v>
      </c>
      <c r="D1202" s="519">
        <v>6890</v>
      </c>
      <c r="E1202" s="520">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19" t="s">
        <v>1002</v>
      </c>
      <c r="B1203" s="519" t="s">
        <v>986</v>
      </c>
      <c r="C1203" s="519">
        <v>2000</v>
      </c>
      <c r="D1203" s="519">
        <v>6890</v>
      </c>
      <c r="E1203" s="520">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19" t="s">
        <v>1002</v>
      </c>
      <c r="B1204" s="519" t="s">
        <v>986</v>
      </c>
      <c r="C1204" s="519">
        <v>3000</v>
      </c>
      <c r="D1204" s="519">
        <v>6890</v>
      </c>
      <c r="E1204" s="520">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19" t="s">
        <v>1002</v>
      </c>
      <c r="B1205" s="521">
        <v>700</v>
      </c>
      <c r="C1205" s="519">
        <v>1000</v>
      </c>
      <c r="D1205" s="519">
        <v>6890</v>
      </c>
      <c r="E1205" s="520">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19" t="s">
        <v>1002</v>
      </c>
      <c r="B1206" s="521">
        <v>800</v>
      </c>
      <c r="C1206" s="519">
        <v>1000</v>
      </c>
      <c r="D1206" s="519">
        <v>6890</v>
      </c>
      <c r="E1206" s="520">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19" t="s">
        <v>1002</v>
      </c>
      <c r="B1207" s="521">
        <v>900</v>
      </c>
      <c r="C1207" s="519">
        <v>1000</v>
      </c>
      <c r="D1207" s="519">
        <v>6890</v>
      </c>
      <c r="E1207" s="520">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19" t="s">
        <v>1002</v>
      </c>
      <c r="B1208" s="521">
        <v>700</v>
      </c>
      <c r="C1208" s="519">
        <v>2000</v>
      </c>
      <c r="D1208" s="519">
        <v>6890</v>
      </c>
      <c r="E1208" s="520">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19" t="s">
        <v>1002</v>
      </c>
      <c r="B1209" s="521">
        <v>800</v>
      </c>
      <c r="C1209" s="519">
        <v>2000</v>
      </c>
      <c r="D1209" s="519">
        <v>6890</v>
      </c>
      <c r="E1209" s="520">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19" t="s">
        <v>1002</v>
      </c>
      <c r="B1210" s="521">
        <v>900</v>
      </c>
      <c r="C1210" s="519">
        <v>2000</v>
      </c>
      <c r="D1210" s="519">
        <v>6890</v>
      </c>
      <c r="E1210" s="520">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19" t="s">
        <v>1002</v>
      </c>
      <c r="B1211" s="521">
        <v>700</v>
      </c>
      <c r="C1211" s="519">
        <v>3000</v>
      </c>
      <c r="D1211" s="519">
        <v>6890</v>
      </c>
      <c r="E1211" s="520">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19" t="s">
        <v>1002</v>
      </c>
      <c r="B1212" s="521">
        <v>800</v>
      </c>
      <c r="C1212" s="519">
        <v>3000</v>
      </c>
      <c r="D1212" s="519">
        <v>6890</v>
      </c>
      <c r="E1212" s="520">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19" t="s">
        <v>1002</v>
      </c>
      <c r="B1213" s="521">
        <v>900</v>
      </c>
      <c r="C1213" s="519">
        <v>3000</v>
      </c>
      <c r="D1213" s="519">
        <v>6890</v>
      </c>
      <c r="E1213" s="520">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22" t="s">
        <v>1082</v>
      </c>
      <c r="B1214" s="522"/>
      <c r="C1214" s="522"/>
      <c r="D1214" s="522"/>
      <c r="E1214" s="524">
        <f>(E1202+E1203+E1204)-(E1205+E1206+E1207+E1208+E1209+E1210+E1211+E1212+E1213)</f>
        <v>0</v>
      </c>
    </row>
    <row r="1215" spans="1:5" x14ac:dyDescent="0.2">
      <c r="A1215" s="519" t="s">
        <v>986</v>
      </c>
      <c r="B1215" s="519" t="s">
        <v>988</v>
      </c>
      <c r="C1215" s="519">
        <v>1000</v>
      </c>
      <c r="D1215" s="519">
        <v>6000</v>
      </c>
      <c r="E1215" s="520">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19" t="s">
        <v>986</v>
      </c>
      <c r="B1216" s="519" t="s">
        <v>988</v>
      </c>
      <c r="C1216" s="519">
        <v>1000</v>
      </c>
      <c r="D1216" s="519">
        <v>6900</v>
      </c>
      <c r="E1216" s="520">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19" t="s">
        <v>986</v>
      </c>
      <c r="B1217" s="519" t="s">
        <v>988</v>
      </c>
      <c r="C1217" s="519">
        <v>1000</v>
      </c>
      <c r="D1217" s="528">
        <v>6700</v>
      </c>
      <c r="E1217" s="520">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21" t="s">
        <v>987</v>
      </c>
      <c r="B1218" s="519" t="s">
        <v>988</v>
      </c>
      <c r="C1218" s="519">
        <v>1000</v>
      </c>
      <c r="D1218" s="519">
        <v>6000</v>
      </c>
      <c r="E1218" s="520">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19"/>
      <c r="B1219" s="519"/>
      <c r="C1219" s="519"/>
      <c r="D1219" s="519"/>
      <c r="E1219" s="520"/>
    </row>
    <row r="1220" spans="1:5" x14ac:dyDescent="0.2">
      <c r="A1220" s="521" t="s">
        <v>987</v>
      </c>
      <c r="B1220" s="519" t="s">
        <v>988</v>
      </c>
      <c r="C1220" s="519">
        <v>1000</v>
      </c>
      <c r="D1220" s="519">
        <v>6900</v>
      </c>
      <c r="E1220" s="520">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19"/>
      <c r="B1221" s="519"/>
      <c r="C1221" s="519"/>
      <c r="D1221" s="519"/>
      <c r="E1221" s="520"/>
    </row>
    <row r="1222" spans="1:5" x14ac:dyDescent="0.2">
      <c r="A1222" s="521" t="s">
        <v>987</v>
      </c>
      <c r="B1222" s="519" t="s">
        <v>988</v>
      </c>
      <c r="C1222" s="519">
        <v>1000</v>
      </c>
      <c r="D1222" s="528">
        <v>6700</v>
      </c>
      <c r="E1222" s="520">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21"/>
      <c r="B1223" s="519"/>
      <c r="C1223" s="519"/>
      <c r="D1223" s="528"/>
      <c r="E1223" s="520"/>
    </row>
    <row r="1224" spans="1:5" x14ac:dyDescent="0.2">
      <c r="A1224" s="521"/>
      <c r="B1224" s="519"/>
      <c r="C1224" s="519"/>
      <c r="D1224" s="528"/>
      <c r="E1224" s="520"/>
    </row>
    <row r="1225" spans="1:5" x14ac:dyDescent="0.2">
      <c r="A1225" s="522" t="s">
        <v>1083</v>
      </c>
      <c r="B1225" s="522"/>
      <c r="C1225" s="522"/>
      <c r="D1225" s="522"/>
      <c r="E1225" s="524">
        <f>(E1215-E1216-E1217)-((E1218+E1219)-(E1220+E1221))-(E1222+E1223+E1224)</f>
        <v>0</v>
      </c>
    </row>
    <row r="1226" spans="1:5" x14ac:dyDescent="0.2">
      <c r="A1226" s="519" t="s">
        <v>986</v>
      </c>
      <c r="B1226" s="519" t="s">
        <v>988</v>
      </c>
      <c r="C1226" s="519">
        <v>2100</v>
      </c>
      <c r="D1226" s="519">
        <v>6000</v>
      </c>
      <c r="E1226" s="520">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19" t="s">
        <v>986</v>
      </c>
      <c r="B1227" s="519" t="s">
        <v>988</v>
      </c>
      <c r="C1227" s="519">
        <v>2100</v>
      </c>
      <c r="D1227" s="519">
        <v>6900</v>
      </c>
      <c r="E1227" s="520">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19" t="s">
        <v>986</v>
      </c>
      <c r="B1228" s="519" t="s">
        <v>988</v>
      </c>
      <c r="C1228" s="519">
        <v>2100</v>
      </c>
      <c r="D1228" s="528">
        <v>6700</v>
      </c>
      <c r="E1228" s="520">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21" t="s">
        <v>987</v>
      </c>
      <c r="B1229" s="519" t="s">
        <v>988</v>
      </c>
      <c r="C1229" s="519">
        <v>2100</v>
      </c>
      <c r="D1229" s="519">
        <v>6000</v>
      </c>
      <c r="E1229" s="520">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19"/>
      <c r="B1230" s="519"/>
      <c r="C1230" s="519"/>
      <c r="D1230" s="519"/>
      <c r="E1230" s="520"/>
    </row>
    <row r="1231" spans="1:5" x14ac:dyDescent="0.2">
      <c r="A1231" s="521" t="s">
        <v>987</v>
      </c>
      <c r="B1231" s="519" t="s">
        <v>988</v>
      </c>
      <c r="C1231" s="519">
        <v>2100</v>
      </c>
      <c r="D1231" s="519">
        <v>6900</v>
      </c>
      <c r="E1231" s="520">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3" spans="1:5" x14ac:dyDescent="0.2">
      <c r="A1233" s="521" t="s">
        <v>987</v>
      </c>
      <c r="B1233" s="519" t="s">
        <v>988</v>
      </c>
      <c r="C1233" s="519">
        <v>2100</v>
      </c>
      <c r="D1233" s="528">
        <v>6700</v>
      </c>
      <c r="E1233" s="520">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21"/>
      <c r="B1234" s="519"/>
      <c r="C1234" s="519"/>
      <c r="D1234" s="528"/>
      <c r="E1234" s="520"/>
    </row>
    <row r="1235" spans="1:5" x14ac:dyDescent="0.2">
      <c r="A1235" s="521"/>
      <c r="B1235" s="519"/>
      <c r="C1235" s="519"/>
      <c r="D1235" s="528"/>
      <c r="E1235" s="520"/>
    </row>
    <row r="1236" spans="1:5" x14ac:dyDescent="0.2">
      <c r="A1236" s="522" t="s">
        <v>1084</v>
      </c>
      <c r="B1236" s="522"/>
      <c r="C1236" s="522"/>
      <c r="D1236" s="522"/>
      <c r="E1236" s="524">
        <f>(E1226-E1227-E1228)-((E1229+E1230)-(E1231+E1232))-(E1233+E1234+E1235)</f>
        <v>0</v>
      </c>
    </row>
    <row r="1237" spans="1:5" x14ac:dyDescent="0.2">
      <c r="A1237" s="519" t="s">
        <v>986</v>
      </c>
      <c r="B1237" s="519" t="s">
        <v>988</v>
      </c>
      <c r="C1237" s="519">
        <v>2200</v>
      </c>
      <c r="D1237" s="519">
        <v>6000</v>
      </c>
      <c r="E1237" s="520">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19" t="s">
        <v>986</v>
      </c>
      <c r="B1238" s="519" t="s">
        <v>988</v>
      </c>
      <c r="C1238" s="519">
        <v>2200</v>
      </c>
      <c r="D1238" s="519">
        <v>6900</v>
      </c>
      <c r="E1238" s="520">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19" t="s">
        <v>986</v>
      </c>
      <c r="B1239" s="519" t="s">
        <v>988</v>
      </c>
      <c r="C1239" s="519">
        <v>2200</v>
      </c>
      <c r="D1239" s="528">
        <v>6700</v>
      </c>
      <c r="E1239" s="520">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21" t="s">
        <v>987</v>
      </c>
      <c r="B1240" s="519" t="s">
        <v>988</v>
      </c>
      <c r="C1240" s="519">
        <v>2200</v>
      </c>
      <c r="D1240" s="519">
        <v>6000</v>
      </c>
      <c r="E1240" s="520">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19"/>
      <c r="B1241" s="519"/>
      <c r="C1241" s="519"/>
      <c r="D1241" s="519"/>
      <c r="E1241" s="520"/>
    </row>
    <row r="1242" spans="1:5" x14ac:dyDescent="0.2">
      <c r="A1242" s="521" t="s">
        <v>987</v>
      </c>
      <c r="B1242" s="519" t="s">
        <v>988</v>
      </c>
      <c r="C1242" s="519">
        <v>2200</v>
      </c>
      <c r="D1242" s="519">
        <v>6900</v>
      </c>
      <c r="E1242" s="520">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19"/>
      <c r="B1243" s="519"/>
      <c r="C1243" s="519"/>
      <c r="D1243" s="519"/>
      <c r="E1243" s="520"/>
    </row>
    <row r="1244" spans="1:5" x14ac:dyDescent="0.2">
      <c r="A1244" s="521" t="s">
        <v>987</v>
      </c>
      <c r="B1244" s="519" t="s">
        <v>988</v>
      </c>
      <c r="C1244" s="519">
        <v>2200</v>
      </c>
      <c r="D1244" s="528">
        <v>6700</v>
      </c>
      <c r="E1244" s="520">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21"/>
      <c r="B1245" s="519"/>
      <c r="C1245" s="519"/>
      <c r="D1245" s="528"/>
      <c r="E1245" s="520"/>
    </row>
    <row r="1246" spans="1:5" x14ac:dyDescent="0.2">
      <c r="A1246" s="521"/>
      <c r="B1246" s="519"/>
      <c r="C1246" s="519"/>
      <c r="D1246" s="528"/>
      <c r="E1246" s="520"/>
    </row>
    <row r="1247" spans="1:5" x14ac:dyDescent="0.2">
      <c r="A1247" s="522" t="s">
        <v>1085</v>
      </c>
      <c r="B1247" s="522"/>
      <c r="C1247" s="522"/>
      <c r="D1247" s="522"/>
      <c r="E1247" s="524">
        <f>(E1237-E1238-E1239)-((E1240+E1241)-(E1242+E1243))-(E1244+E1245+E1246)</f>
        <v>0</v>
      </c>
    </row>
    <row r="1248" spans="1:5" x14ac:dyDescent="0.2">
      <c r="A1248" s="519" t="s">
        <v>986</v>
      </c>
      <c r="B1248" s="519" t="s">
        <v>988</v>
      </c>
      <c r="C1248" s="519">
        <v>2300</v>
      </c>
      <c r="D1248" s="519">
        <v>6000</v>
      </c>
      <c r="E1248" s="520">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19" t="s">
        <v>986</v>
      </c>
      <c r="B1249" s="519" t="s">
        <v>988</v>
      </c>
      <c r="C1249" s="519">
        <v>2300</v>
      </c>
      <c r="D1249" s="519">
        <v>6900</v>
      </c>
      <c r="E1249" s="520">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19" t="s">
        <v>986</v>
      </c>
      <c r="B1250" s="519" t="s">
        <v>988</v>
      </c>
      <c r="C1250" s="519">
        <v>2300</v>
      </c>
      <c r="D1250" s="528">
        <v>6700</v>
      </c>
      <c r="E1250" s="520">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21" t="s">
        <v>987</v>
      </c>
      <c r="B1251" s="519" t="s">
        <v>988</v>
      </c>
      <c r="C1251" s="519">
        <v>2300</v>
      </c>
      <c r="D1251" s="519">
        <v>6000</v>
      </c>
      <c r="E1251" s="520">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19"/>
      <c r="B1252" s="519"/>
      <c r="C1252" s="519"/>
      <c r="D1252" s="519"/>
      <c r="E1252" s="520"/>
    </row>
    <row r="1253" spans="1:5" x14ac:dyDescent="0.2">
      <c r="A1253" s="521" t="s">
        <v>987</v>
      </c>
      <c r="B1253" s="519" t="s">
        <v>988</v>
      </c>
      <c r="C1253" s="519">
        <v>2300</v>
      </c>
      <c r="D1253" s="519">
        <v>6900</v>
      </c>
      <c r="E1253" s="520">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19"/>
      <c r="B1254" s="519"/>
      <c r="C1254" s="519"/>
      <c r="D1254" s="519"/>
      <c r="E1254" s="520"/>
    </row>
    <row r="1255" spans="1:5" x14ac:dyDescent="0.2">
      <c r="A1255" s="521" t="s">
        <v>987</v>
      </c>
      <c r="B1255" s="519" t="s">
        <v>988</v>
      </c>
      <c r="C1255" s="519">
        <v>2300</v>
      </c>
      <c r="D1255" s="528">
        <v>6700</v>
      </c>
      <c r="E1255" s="520">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21"/>
      <c r="B1256" s="519"/>
      <c r="C1256" s="519"/>
      <c r="D1256" s="528"/>
      <c r="E1256" s="520"/>
    </row>
    <row r="1257" spans="1:5" x14ac:dyDescent="0.2">
      <c r="A1257" s="521"/>
      <c r="B1257" s="519"/>
      <c r="C1257" s="519"/>
      <c r="D1257" s="528"/>
      <c r="E1257" s="520"/>
    </row>
    <row r="1258" spans="1:5" x14ac:dyDescent="0.2">
      <c r="A1258" s="522" t="s">
        <v>1086</v>
      </c>
      <c r="B1258" s="522"/>
      <c r="C1258" s="522"/>
      <c r="D1258" s="522"/>
      <c r="E1258" s="524">
        <f>(E1248-E1249-E1250)-((E1251+E1252)-(E1253+E1254))-(E1255+E1256+E1257)</f>
        <v>0</v>
      </c>
    </row>
    <row r="1259" spans="1:5" x14ac:dyDescent="0.2">
      <c r="A1259" s="519" t="s">
        <v>986</v>
      </c>
      <c r="B1259" s="519" t="s">
        <v>988</v>
      </c>
      <c r="C1259" s="519">
        <v>2400</v>
      </c>
      <c r="D1259" s="519">
        <v>6000</v>
      </c>
      <c r="E1259" s="520">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19" t="s">
        <v>986</v>
      </c>
      <c r="B1260" s="519" t="s">
        <v>988</v>
      </c>
      <c r="C1260" s="519">
        <v>2400</v>
      </c>
      <c r="D1260" s="519">
        <v>6900</v>
      </c>
      <c r="E1260" s="520">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19" t="s">
        <v>986</v>
      </c>
      <c r="B1261" s="519" t="s">
        <v>988</v>
      </c>
      <c r="C1261" s="519">
        <v>2400</v>
      </c>
      <c r="D1261" s="528">
        <v>6700</v>
      </c>
      <c r="E1261" s="520">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21" t="s">
        <v>987</v>
      </c>
      <c r="B1262" s="519" t="s">
        <v>988</v>
      </c>
      <c r="C1262" s="519">
        <v>2400</v>
      </c>
      <c r="D1262" s="519">
        <v>6000</v>
      </c>
      <c r="E1262" s="520">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19"/>
      <c r="B1263" s="519"/>
      <c r="C1263" s="519"/>
      <c r="D1263" s="519"/>
      <c r="E1263" s="520"/>
    </row>
    <row r="1264" spans="1:5" x14ac:dyDescent="0.2">
      <c r="A1264" s="521" t="s">
        <v>987</v>
      </c>
      <c r="B1264" s="519" t="s">
        <v>988</v>
      </c>
      <c r="C1264" s="519">
        <v>2400</v>
      </c>
      <c r="D1264" s="519">
        <v>6900</v>
      </c>
      <c r="E1264" s="520">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6" spans="1:5" x14ac:dyDescent="0.2">
      <c r="A1266" s="521" t="s">
        <v>987</v>
      </c>
      <c r="B1266" s="519" t="s">
        <v>988</v>
      </c>
      <c r="C1266" s="519">
        <v>2400</v>
      </c>
      <c r="D1266" s="528">
        <v>6700</v>
      </c>
      <c r="E1266" s="520">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21"/>
      <c r="B1267" s="519"/>
      <c r="C1267" s="519"/>
      <c r="D1267" s="528"/>
      <c r="E1267" s="520"/>
    </row>
    <row r="1268" spans="1:5" x14ac:dyDescent="0.2">
      <c r="A1268" s="521"/>
      <c r="B1268" s="519"/>
      <c r="C1268" s="519"/>
      <c r="D1268" s="528"/>
      <c r="E1268" s="520"/>
    </row>
    <row r="1269" spans="1:5" x14ac:dyDescent="0.2">
      <c r="A1269" s="522" t="s">
        <v>1087</v>
      </c>
      <c r="B1269" s="522"/>
      <c r="C1269" s="522"/>
      <c r="D1269" s="522"/>
      <c r="E1269" s="524">
        <f>(E1259-E1260-E1261)-((E1262+E1263)-(E1264+E1265))-(E1266+E1267+E1268)</f>
        <v>0</v>
      </c>
    </row>
    <row r="1270" spans="1:5" x14ac:dyDescent="0.2">
      <c r="A1270" s="519" t="s">
        <v>986</v>
      </c>
      <c r="B1270" s="519" t="s">
        <v>988</v>
      </c>
      <c r="C1270" s="519">
        <v>2500</v>
      </c>
      <c r="D1270" s="519">
        <v>6000</v>
      </c>
      <c r="E1270" s="520">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19" t="s">
        <v>986</v>
      </c>
      <c r="B1271" s="519" t="s">
        <v>988</v>
      </c>
      <c r="C1271" s="519">
        <v>2500</v>
      </c>
      <c r="D1271" s="519">
        <v>6900</v>
      </c>
      <c r="E1271" s="520">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19" t="s">
        <v>986</v>
      </c>
      <c r="B1272" s="519" t="s">
        <v>988</v>
      </c>
      <c r="C1272" s="519">
        <v>2500</v>
      </c>
      <c r="D1272" s="528">
        <v>6700</v>
      </c>
      <c r="E1272" s="520">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21" t="s">
        <v>987</v>
      </c>
      <c r="B1273" s="519" t="s">
        <v>988</v>
      </c>
      <c r="C1273" s="519">
        <v>2500</v>
      </c>
      <c r="D1273" s="519">
        <v>6000</v>
      </c>
      <c r="E1273" s="520">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19"/>
      <c r="B1274" s="519"/>
      <c r="C1274" s="519"/>
      <c r="D1274" s="519"/>
      <c r="E1274" s="520"/>
    </row>
    <row r="1275" spans="1:5" x14ac:dyDescent="0.2">
      <c r="A1275" s="521" t="s">
        <v>987</v>
      </c>
      <c r="B1275" s="519" t="s">
        <v>988</v>
      </c>
      <c r="C1275" s="519">
        <v>2500</v>
      </c>
      <c r="D1275" s="519">
        <v>6900</v>
      </c>
      <c r="E1275" s="520">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19"/>
      <c r="B1276" s="519"/>
      <c r="C1276" s="519"/>
      <c r="D1276" s="519"/>
      <c r="E1276" s="520"/>
    </row>
    <row r="1277" spans="1:5" x14ac:dyDescent="0.2">
      <c r="A1277" s="521" t="s">
        <v>987</v>
      </c>
      <c r="B1277" s="519" t="s">
        <v>988</v>
      </c>
      <c r="C1277" s="519">
        <v>2500</v>
      </c>
      <c r="D1277" s="528">
        <v>6700</v>
      </c>
      <c r="E1277" s="520">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21"/>
      <c r="B1278" s="519"/>
      <c r="C1278" s="519"/>
      <c r="D1278" s="528"/>
      <c r="E1278" s="520"/>
    </row>
    <row r="1279" spans="1:5" x14ac:dyDescent="0.2">
      <c r="A1279" s="521"/>
      <c r="B1279" s="519"/>
      <c r="C1279" s="519"/>
      <c r="D1279" s="528"/>
      <c r="E1279" s="520"/>
    </row>
    <row r="1280" spans="1:5" x14ac:dyDescent="0.2">
      <c r="A1280" s="522" t="s">
        <v>1088</v>
      </c>
      <c r="B1280" s="522"/>
      <c r="C1280" s="522"/>
      <c r="D1280" s="522"/>
      <c r="E1280" s="524">
        <f>(E1270-E1271-E1272)-((E1273+E1274)-(E1275+E1276))-(E1277+E1278+E1279)</f>
        <v>0</v>
      </c>
    </row>
    <row r="1281" spans="1:5" x14ac:dyDescent="0.2">
      <c r="A1281" s="519" t="s">
        <v>986</v>
      </c>
      <c r="B1281" s="519" t="s">
        <v>988</v>
      </c>
      <c r="C1281" s="519">
        <v>2900</v>
      </c>
      <c r="D1281" s="519">
        <v>6000</v>
      </c>
      <c r="E1281" s="520">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19" t="s">
        <v>986</v>
      </c>
      <c r="B1282" s="519" t="s">
        <v>988</v>
      </c>
      <c r="C1282" s="519">
        <v>2900</v>
      </c>
      <c r="D1282" s="519">
        <v>6900</v>
      </c>
      <c r="E1282" s="520">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19" t="s">
        <v>986</v>
      </c>
      <c r="B1283" s="519" t="s">
        <v>988</v>
      </c>
      <c r="C1283" s="519">
        <v>2900</v>
      </c>
      <c r="D1283" s="528">
        <v>6700</v>
      </c>
      <c r="E1283" s="520">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21" t="s">
        <v>987</v>
      </c>
      <c r="B1284" s="519" t="s">
        <v>988</v>
      </c>
      <c r="C1284" s="519">
        <v>2900</v>
      </c>
      <c r="D1284" s="519">
        <v>6000</v>
      </c>
      <c r="E1284" s="520">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19"/>
      <c r="B1285" s="519"/>
      <c r="C1285" s="519"/>
      <c r="D1285" s="519"/>
      <c r="E1285" s="520"/>
    </row>
    <row r="1286" spans="1:5" x14ac:dyDescent="0.2">
      <c r="A1286" s="521" t="s">
        <v>987</v>
      </c>
      <c r="B1286" s="519" t="s">
        <v>988</v>
      </c>
      <c r="C1286" s="519">
        <v>2900</v>
      </c>
      <c r="D1286" s="519">
        <v>6900</v>
      </c>
      <c r="E1286" s="520">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19"/>
      <c r="B1287" s="519"/>
      <c r="C1287" s="519"/>
      <c r="D1287" s="519"/>
      <c r="E1287" s="520"/>
    </row>
    <row r="1288" spans="1:5" x14ac:dyDescent="0.2">
      <c r="A1288" s="521" t="s">
        <v>987</v>
      </c>
      <c r="B1288" s="519" t="s">
        <v>988</v>
      </c>
      <c r="C1288" s="519">
        <v>2900</v>
      </c>
      <c r="D1288" s="528">
        <v>6700</v>
      </c>
      <c r="E1288" s="520">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21"/>
      <c r="B1289" s="519"/>
      <c r="C1289" s="519"/>
      <c r="D1289" s="528"/>
      <c r="E1289" s="520"/>
    </row>
    <row r="1290" spans="1:5" x14ac:dyDescent="0.2">
      <c r="A1290" s="521"/>
      <c r="B1290" s="519"/>
      <c r="C1290" s="519"/>
      <c r="D1290" s="528"/>
      <c r="E1290" s="520"/>
    </row>
    <row r="1291" spans="1:5" x14ac:dyDescent="0.2">
      <c r="A1291" s="522" t="s">
        <v>1089</v>
      </c>
      <c r="B1291" s="522"/>
      <c r="C1291" s="522"/>
      <c r="D1291" s="522"/>
      <c r="E1291" s="524">
        <f>(E1281-E1282-E1283)-((E1284+E1285)-(E1286+E1287))-(E1288+E1289+E1290)</f>
        <v>0</v>
      </c>
    </row>
    <row r="1292" spans="1:5" x14ac:dyDescent="0.2">
      <c r="A1292" s="519" t="s">
        <v>986</v>
      </c>
      <c r="B1292" s="519" t="s">
        <v>988</v>
      </c>
      <c r="C1292" s="519">
        <v>2600</v>
      </c>
      <c r="D1292" s="519">
        <v>6000</v>
      </c>
      <c r="E1292" s="520">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19" t="s">
        <v>986</v>
      </c>
      <c r="B1293" s="519" t="s">
        <v>988</v>
      </c>
      <c r="C1293" s="519">
        <v>2600</v>
      </c>
      <c r="D1293" s="519">
        <v>6900</v>
      </c>
      <c r="E1293" s="520">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19" t="s">
        <v>986</v>
      </c>
      <c r="B1294" s="519" t="s">
        <v>988</v>
      </c>
      <c r="C1294" s="519">
        <v>2600</v>
      </c>
      <c r="D1294" s="528">
        <v>6700</v>
      </c>
      <c r="E1294" s="520">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21" t="s">
        <v>987</v>
      </c>
      <c r="B1295" s="519" t="s">
        <v>988</v>
      </c>
      <c r="C1295" s="519">
        <v>2600</v>
      </c>
      <c r="D1295" s="519">
        <v>6000</v>
      </c>
      <c r="E1295" s="520">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7" spans="1:5" x14ac:dyDescent="0.2">
      <c r="A1297" s="521" t="s">
        <v>987</v>
      </c>
      <c r="B1297" s="519" t="s">
        <v>988</v>
      </c>
      <c r="C1297" s="519">
        <v>2600</v>
      </c>
      <c r="D1297" s="519">
        <v>6900</v>
      </c>
      <c r="E1297" s="520">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19"/>
      <c r="B1298" s="519"/>
      <c r="C1298" s="519"/>
      <c r="D1298" s="519"/>
      <c r="E1298" s="520"/>
    </row>
    <row r="1299" spans="1:5" x14ac:dyDescent="0.2">
      <c r="A1299" s="521" t="s">
        <v>987</v>
      </c>
      <c r="B1299" s="519" t="s">
        <v>988</v>
      </c>
      <c r="C1299" s="519">
        <v>2600</v>
      </c>
      <c r="D1299" s="528">
        <v>6700</v>
      </c>
      <c r="E1299" s="520">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21"/>
      <c r="B1300" s="519"/>
      <c r="C1300" s="519"/>
      <c r="D1300" s="528"/>
      <c r="E1300" s="520"/>
    </row>
    <row r="1301" spans="1:5" x14ac:dyDescent="0.2">
      <c r="A1301" s="521"/>
      <c r="B1301" s="519"/>
      <c r="C1301" s="519"/>
      <c r="D1301" s="528"/>
      <c r="E1301" s="520"/>
    </row>
    <row r="1302" spans="1:5" x14ac:dyDescent="0.2">
      <c r="A1302" s="522" t="s">
        <v>1090</v>
      </c>
      <c r="B1302" s="522"/>
      <c r="C1302" s="522"/>
      <c r="D1302" s="522"/>
      <c r="E1302" s="524">
        <f>(E1292-E1293-E1294)-((E1295+E1296)-(E1297+E1298))-(E1299+E1300+E1301)</f>
        <v>0</v>
      </c>
    </row>
    <row r="1303" spans="1:5" x14ac:dyDescent="0.2">
      <c r="A1303" s="519" t="s">
        <v>986</v>
      </c>
      <c r="B1303" s="519" t="s">
        <v>988</v>
      </c>
      <c r="C1303" s="519">
        <v>3100</v>
      </c>
      <c r="D1303" s="519">
        <v>6000</v>
      </c>
      <c r="E1303" s="520">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19" t="s">
        <v>986</v>
      </c>
      <c r="B1304" s="519" t="s">
        <v>988</v>
      </c>
      <c r="C1304" s="519">
        <v>3100</v>
      </c>
      <c r="D1304" s="519">
        <v>6900</v>
      </c>
      <c r="E1304" s="520">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19" t="s">
        <v>986</v>
      </c>
      <c r="B1305" s="519" t="s">
        <v>988</v>
      </c>
      <c r="C1305" s="519">
        <v>3100</v>
      </c>
      <c r="D1305" s="528">
        <v>6700</v>
      </c>
      <c r="E1305" s="520">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21" t="s">
        <v>987</v>
      </c>
      <c r="B1306" s="519" t="s">
        <v>988</v>
      </c>
      <c r="C1306" s="519">
        <v>3100</v>
      </c>
      <c r="D1306" s="519">
        <v>6000</v>
      </c>
      <c r="E1306" s="520">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19"/>
      <c r="B1307" s="519"/>
      <c r="C1307" s="519"/>
      <c r="D1307" s="519"/>
      <c r="E1307" s="520"/>
    </row>
    <row r="1308" spans="1:5" x14ac:dyDescent="0.2">
      <c r="A1308" s="521" t="s">
        <v>987</v>
      </c>
      <c r="B1308" s="519" t="s">
        <v>988</v>
      </c>
      <c r="C1308" s="519">
        <v>3100</v>
      </c>
      <c r="D1308" s="519">
        <v>6900</v>
      </c>
      <c r="E1308" s="520">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19"/>
      <c r="B1309" s="519"/>
      <c r="C1309" s="519"/>
      <c r="D1309" s="519"/>
      <c r="E1309" s="520"/>
    </row>
    <row r="1310" spans="1:5" x14ac:dyDescent="0.2">
      <c r="A1310" s="521" t="s">
        <v>987</v>
      </c>
      <c r="B1310" s="519" t="s">
        <v>988</v>
      </c>
      <c r="C1310" s="519">
        <v>3100</v>
      </c>
      <c r="D1310" s="528">
        <v>6700</v>
      </c>
      <c r="E1310" s="520">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3" spans="1:5" x14ac:dyDescent="0.2">
      <c r="A1313" s="522" t="s">
        <v>1091</v>
      </c>
      <c r="B1313" s="522"/>
      <c r="C1313" s="522"/>
      <c r="D1313" s="522"/>
      <c r="E1313" s="524">
        <f>(E1303-E1304-E1305)-((E1306+E1307)-(E1308+E1309))-(E1310+E1311+E1312)</f>
        <v>0</v>
      </c>
    </row>
    <row r="1314" spans="1:5" x14ac:dyDescent="0.2">
      <c r="A1314" s="519"/>
      <c r="B1314" s="519"/>
      <c r="C1314" s="519"/>
      <c r="D1314" s="519"/>
      <c r="E1314" s="520"/>
    </row>
    <row r="1315" spans="1:5" x14ac:dyDescent="0.2">
      <c r="A1315" s="519"/>
      <c r="B1315" s="519"/>
      <c r="C1315" s="519"/>
      <c r="D1315" s="519"/>
      <c r="E1315" s="520"/>
    </row>
    <row r="1316" spans="1:5" x14ac:dyDescent="0.2">
      <c r="A1316" s="519"/>
      <c r="B1316" s="519"/>
      <c r="C1316" s="519"/>
      <c r="D1316" s="528"/>
      <c r="E1316" s="520"/>
    </row>
    <row r="1317" spans="1:5" x14ac:dyDescent="0.2">
      <c r="A1317" s="521"/>
      <c r="B1317" s="519"/>
      <c r="C1317" s="519"/>
      <c r="D1317" s="519"/>
      <c r="E1317" s="520"/>
    </row>
    <row r="1318" spans="1:5" x14ac:dyDescent="0.2">
      <c r="A1318" s="519"/>
      <c r="B1318" s="519"/>
      <c r="C1318" s="519"/>
      <c r="D1318" s="519"/>
      <c r="E1318" s="520"/>
    </row>
    <row r="1319" spans="1:5" x14ac:dyDescent="0.2">
      <c r="A1319" s="521"/>
      <c r="B1319" s="519"/>
      <c r="C1319" s="519"/>
      <c r="D1319" s="519"/>
      <c r="E1319" s="520"/>
    </row>
    <row r="1320" spans="1:5" x14ac:dyDescent="0.2">
      <c r="A1320" s="519"/>
      <c r="B1320" s="519"/>
      <c r="C1320" s="519"/>
      <c r="D1320" s="519"/>
      <c r="E1320" s="520"/>
    </row>
    <row r="1321" spans="1:5" x14ac:dyDescent="0.2">
      <c r="A1321" s="521"/>
      <c r="B1321" s="519"/>
      <c r="C1321" s="519"/>
      <c r="D1321" s="528"/>
      <c r="E1321" s="520"/>
    </row>
    <row r="1322" spans="1:5" x14ac:dyDescent="0.2">
      <c r="A1322" s="521"/>
      <c r="B1322" s="519"/>
      <c r="C1322" s="519"/>
      <c r="D1322" s="528"/>
      <c r="E1322" s="520"/>
    </row>
    <row r="1323" spans="1:5" x14ac:dyDescent="0.2">
      <c r="A1323" s="521"/>
      <c r="B1323" s="519"/>
      <c r="C1323" s="519"/>
      <c r="D1323" s="528"/>
      <c r="E1323" s="520"/>
    </row>
    <row r="1324" spans="1:5" x14ac:dyDescent="0.2">
      <c r="A1324" s="522"/>
      <c r="B1324" s="522"/>
      <c r="C1324" s="522"/>
      <c r="D1324" s="522"/>
      <c r="E1324" s="524"/>
    </row>
    <row r="1325" spans="1:5" x14ac:dyDescent="0.2">
      <c r="A1325" s="519" t="s">
        <v>986</v>
      </c>
      <c r="B1325" s="519" t="s">
        <v>988</v>
      </c>
      <c r="C1325" s="519">
        <v>3300</v>
      </c>
      <c r="D1325" s="519">
        <v>6000</v>
      </c>
      <c r="E1325" s="520">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21268</v>
      </c>
    </row>
    <row r="1326" spans="1:5" x14ac:dyDescent="0.2">
      <c r="A1326" s="519" t="s">
        <v>986</v>
      </c>
      <c r="B1326" s="519" t="s">
        <v>988</v>
      </c>
      <c r="C1326" s="519">
        <v>3300</v>
      </c>
      <c r="D1326" s="519">
        <v>6900</v>
      </c>
      <c r="E1326" s="520">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19" t="s">
        <v>986</v>
      </c>
      <c r="B1327" s="519" t="s">
        <v>988</v>
      </c>
      <c r="C1327" s="519">
        <v>3300</v>
      </c>
      <c r="D1327" s="528">
        <v>6700</v>
      </c>
      <c r="E1327" s="520">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21" t="s">
        <v>987</v>
      </c>
      <c r="B1328" s="519" t="s">
        <v>988</v>
      </c>
      <c r="C1328" s="519">
        <v>3300</v>
      </c>
      <c r="D1328" s="519">
        <v>6000</v>
      </c>
      <c r="E1328" s="520">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30" spans="1:5" x14ac:dyDescent="0.2">
      <c r="A1330" s="521" t="s">
        <v>987</v>
      </c>
      <c r="B1330" s="519" t="s">
        <v>988</v>
      </c>
      <c r="C1330" s="519">
        <v>3300</v>
      </c>
      <c r="D1330" s="519">
        <v>6900</v>
      </c>
      <c r="E1330" s="520">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19"/>
      <c r="B1331" s="519"/>
      <c r="C1331" s="519"/>
      <c r="D1331" s="519"/>
      <c r="E1331" s="520"/>
    </row>
    <row r="1332" spans="1:5" x14ac:dyDescent="0.2">
      <c r="A1332" s="521" t="s">
        <v>987</v>
      </c>
      <c r="B1332" s="519" t="s">
        <v>988</v>
      </c>
      <c r="C1332" s="519">
        <v>3300</v>
      </c>
      <c r="D1332" s="528">
        <v>6700</v>
      </c>
      <c r="E1332" s="520">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21"/>
      <c r="B1333" s="519"/>
      <c r="C1333" s="519"/>
      <c r="D1333" s="528"/>
      <c r="E1333" s="520"/>
    </row>
    <row r="1334" spans="1:5" x14ac:dyDescent="0.2">
      <c r="A1334" s="521"/>
      <c r="B1334" s="519"/>
      <c r="C1334" s="519"/>
      <c r="D1334" s="528"/>
      <c r="E1334" s="520"/>
    </row>
    <row r="1335" spans="1:5" x14ac:dyDescent="0.2">
      <c r="A1335" s="522" t="s">
        <v>1092</v>
      </c>
      <c r="B1335" s="522"/>
      <c r="C1335" s="522"/>
      <c r="D1335" s="522"/>
      <c r="E1335" s="524">
        <f>(E1325-E1326-E1327)-((E1328+E1329)-(E1330+E1331))-(E1332+E1333+E1334)</f>
        <v>21268</v>
      </c>
    </row>
    <row r="1336" spans="1:5" x14ac:dyDescent="0.2">
      <c r="A1336" s="519" t="s">
        <v>986</v>
      </c>
      <c r="B1336" s="519" t="s">
        <v>988</v>
      </c>
      <c r="C1336" s="519">
        <v>3400</v>
      </c>
      <c r="D1336" s="519">
        <v>6000</v>
      </c>
      <c r="E1336" s="520">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19" t="s">
        <v>986</v>
      </c>
      <c r="B1337" s="519" t="s">
        <v>988</v>
      </c>
      <c r="C1337" s="519">
        <v>3400</v>
      </c>
      <c r="D1337" s="519">
        <v>6900</v>
      </c>
      <c r="E1337" s="520">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19" t="s">
        <v>986</v>
      </c>
      <c r="B1338" s="519" t="s">
        <v>988</v>
      </c>
      <c r="C1338" s="519">
        <v>3400</v>
      </c>
      <c r="D1338" s="528">
        <v>6700</v>
      </c>
      <c r="E1338" s="520">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21" t="s">
        <v>987</v>
      </c>
      <c r="B1339" s="519" t="s">
        <v>988</v>
      </c>
      <c r="C1339" s="519">
        <v>3400</v>
      </c>
      <c r="D1339" s="519">
        <v>6000</v>
      </c>
      <c r="E1339" s="520">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19"/>
      <c r="B1340" s="519"/>
      <c r="C1340" s="519"/>
      <c r="D1340" s="519"/>
      <c r="E1340" s="520"/>
    </row>
    <row r="1341" spans="1:5" x14ac:dyDescent="0.2">
      <c r="A1341" s="521" t="s">
        <v>987</v>
      </c>
      <c r="B1341" s="519" t="s">
        <v>988</v>
      </c>
      <c r="C1341" s="519">
        <v>3400</v>
      </c>
      <c r="D1341" s="519">
        <v>6900</v>
      </c>
      <c r="E1341" s="520">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19"/>
      <c r="B1342" s="519"/>
      <c r="C1342" s="519"/>
      <c r="D1342" s="519"/>
      <c r="E1342" s="520"/>
    </row>
    <row r="1343" spans="1:5" x14ac:dyDescent="0.2">
      <c r="A1343" s="521" t="s">
        <v>987</v>
      </c>
      <c r="B1343" s="519" t="s">
        <v>988</v>
      </c>
      <c r="C1343" s="519">
        <v>3400</v>
      </c>
      <c r="D1343" s="528">
        <v>6700</v>
      </c>
      <c r="E1343" s="520">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6" spans="1:5" x14ac:dyDescent="0.2">
      <c r="A1346" s="522" t="s">
        <v>1093</v>
      </c>
      <c r="B1346" s="522"/>
      <c r="C1346" s="522"/>
      <c r="D1346" s="522"/>
      <c r="E1346" s="524">
        <f>(E1336-E1337-E1338)-((E1339+E1340)-(E1341+E1342))-(E1343+E1344+E1345)</f>
        <v>0</v>
      </c>
    </row>
    <row r="1347" spans="1:5" x14ac:dyDescent="0.2">
      <c r="A1347" s="519" t="s">
        <v>986</v>
      </c>
      <c r="B1347" s="519" t="s">
        <v>988</v>
      </c>
      <c r="C1347" s="519">
        <v>4000</v>
      </c>
      <c r="D1347" s="519">
        <v>6000</v>
      </c>
      <c r="E1347" s="520">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19" t="s">
        <v>986</v>
      </c>
      <c r="B1348" s="519" t="s">
        <v>988</v>
      </c>
      <c r="C1348" s="519">
        <v>4000</v>
      </c>
      <c r="D1348" s="519">
        <v>6900</v>
      </c>
      <c r="E1348" s="520">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19" t="s">
        <v>986</v>
      </c>
      <c r="B1349" s="519" t="s">
        <v>988</v>
      </c>
      <c r="C1349" s="519">
        <v>4000</v>
      </c>
      <c r="D1349" s="528">
        <v>6700</v>
      </c>
      <c r="E1349" s="520">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21" t="s">
        <v>987</v>
      </c>
      <c r="B1350" s="519" t="s">
        <v>988</v>
      </c>
      <c r="C1350" s="519">
        <v>4000</v>
      </c>
      <c r="D1350" s="519">
        <v>6000</v>
      </c>
      <c r="E1350" s="520">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19"/>
      <c r="B1351" s="519"/>
      <c r="C1351" s="519"/>
      <c r="D1351" s="519"/>
      <c r="E1351" s="520"/>
    </row>
    <row r="1352" spans="1:5" x14ac:dyDescent="0.2">
      <c r="A1352" s="521" t="s">
        <v>987</v>
      </c>
      <c r="B1352" s="519" t="s">
        <v>988</v>
      </c>
      <c r="C1352" s="519">
        <v>4000</v>
      </c>
      <c r="D1352" s="519">
        <v>6900</v>
      </c>
      <c r="E1352" s="520">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19"/>
      <c r="B1353" s="519"/>
      <c r="C1353" s="519"/>
      <c r="D1353" s="519"/>
      <c r="E1353" s="520"/>
    </row>
    <row r="1354" spans="1:5" x14ac:dyDescent="0.2">
      <c r="A1354" s="521" t="s">
        <v>987</v>
      </c>
      <c r="B1354" s="519" t="s">
        <v>988</v>
      </c>
      <c r="C1354" s="519">
        <v>4000</v>
      </c>
      <c r="D1354" s="528">
        <v>6700</v>
      </c>
      <c r="E1354" s="520">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21"/>
      <c r="B1355" s="519"/>
      <c r="C1355" s="519"/>
      <c r="D1355" s="528"/>
      <c r="E1355" s="520"/>
    </row>
    <row r="1356" spans="1:5" x14ac:dyDescent="0.2">
      <c r="A1356" s="521"/>
      <c r="B1356" s="519"/>
      <c r="C1356" s="519"/>
      <c r="D1356" s="528"/>
      <c r="E1356" s="520"/>
    </row>
    <row r="1357" spans="1:5" x14ac:dyDescent="0.2">
      <c r="A1357" s="522" t="s">
        <v>1094</v>
      </c>
      <c r="B1357" s="522"/>
      <c r="C1357" s="522"/>
      <c r="D1357" s="522"/>
      <c r="E1357" s="524">
        <f>(E1347-E1348-E1349)-((E1350+E1351)-(E1352+E1353))-(E1354+E1355+E1356)</f>
        <v>0</v>
      </c>
    </row>
    <row r="1358" spans="1:5" x14ac:dyDescent="0.2">
      <c r="A1358" s="519" t="s">
        <v>986</v>
      </c>
      <c r="B1358" s="519" t="s">
        <v>988</v>
      </c>
      <c r="C1358" s="519">
        <v>5000</v>
      </c>
      <c r="D1358" s="519">
        <v>6000</v>
      </c>
      <c r="E1358" s="520">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19" t="s">
        <v>986</v>
      </c>
      <c r="B1359" s="519" t="s">
        <v>988</v>
      </c>
      <c r="C1359" s="519">
        <v>5000</v>
      </c>
      <c r="D1359" s="519">
        <v>6900</v>
      </c>
      <c r="E1359" s="520">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19" t="s">
        <v>986</v>
      </c>
      <c r="B1360" s="519" t="s">
        <v>988</v>
      </c>
      <c r="C1360" s="519">
        <v>5000</v>
      </c>
      <c r="D1360" s="528">
        <v>6700</v>
      </c>
      <c r="E1360" s="520">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21" t="s">
        <v>987</v>
      </c>
      <c r="B1361" s="519" t="s">
        <v>988</v>
      </c>
      <c r="C1361" s="519">
        <v>5000</v>
      </c>
      <c r="D1361" s="519">
        <v>6000</v>
      </c>
      <c r="E1361" s="520">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19"/>
      <c r="B1362" s="519"/>
      <c r="C1362" s="519"/>
      <c r="D1362" s="519"/>
      <c r="E1362" s="520"/>
    </row>
    <row r="1363" spans="1:5" x14ac:dyDescent="0.2">
      <c r="A1363" s="521" t="s">
        <v>987</v>
      </c>
      <c r="B1363" s="519" t="s">
        <v>988</v>
      </c>
      <c r="C1363" s="519">
        <v>5000</v>
      </c>
      <c r="D1363" s="519">
        <v>6900</v>
      </c>
      <c r="E1363" s="520">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19"/>
      <c r="B1364" s="519"/>
      <c r="C1364" s="519"/>
      <c r="D1364" s="519"/>
      <c r="E1364" s="520"/>
    </row>
    <row r="1365" spans="1:5" x14ac:dyDescent="0.2">
      <c r="A1365" s="521" t="s">
        <v>987</v>
      </c>
      <c r="B1365" s="519" t="s">
        <v>988</v>
      </c>
      <c r="C1365" s="519">
        <v>5000</v>
      </c>
      <c r="D1365" s="528">
        <v>6700</v>
      </c>
      <c r="E1365" s="520">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21"/>
      <c r="B1366" s="519"/>
      <c r="C1366" s="519"/>
      <c r="D1366" s="528"/>
      <c r="E1366" s="520"/>
    </row>
    <row r="1367" spans="1:5" x14ac:dyDescent="0.2">
      <c r="A1367" s="521"/>
      <c r="B1367" s="519"/>
      <c r="C1367" s="519"/>
      <c r="D1367" s="528"/>
      <c r="E1367" s="520"/>
    </row>
    <row r="1368" spans="1:5" x14ac:dyDescent="0.2">
      <c r="A1368" s="522" t="s">
        <v>1095</v>
      </c>
      <c r="B1368" s="522"/>
      <c r="C1368" s="522"/>
      <c r="D1368" s="522"/>
      <c r="E1368" s="524">
        <f>(E1358-E1359-E1360)-((E1361+E1362)-(E1363+E1364))-(E1365+E1366+E1367)</f>
        <v>0</v>
      </c>
    </row>
    <row r="1369" spans="1:5" x14ac:dyDescent="0.2">
      <c r="A1369" s="525" t="s">
        <v>1096</v>
      </c>
      <c r="B1369" s="525"/>
      <c r="C1369" s="525"/>
      <c r="D1369" s="525"/>
      <c r="E1369" s="529">
        <f>E1225+E1236+E1247+E1258+E1269+E1280+E1291+E1302+E1313+E1324+E1335+E1346</f>
        <v>21268</v>
      </c>
    </row>
    <row r="1370" spans="1:5" x14ac:dyDescent="0.2">
      <c r="A1370" s="521" t="s">
        <v>1002</v>
      </c>
      <c r="B1370" s="521">
        <v>700</v>
      </c>
      <c r="C1370" s="528">
        <v>1000</v>
      </c>
      <c r="D1370" s="519">
        <v>6000</v>
      </c>
      <c r="E1370" s="520">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21" t="s">
        <v>1002</v>
      </c>
      <c r="B1371" s="521">
        <v>800</v>
      </c>
      <c r="C1371" s="528">
        <v>1000</v>
      </c>
      <c r="D1371" s="519">
        <v>6000</v>
      </c>
      <c r="E1371" s="520">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21" t="s">
        <v>1002</v>
      </c>
      <c r="B1372" s="521">
        <v>900</v>
      </c>
      <c r="C1372" s="528">
        <v>1000</v>
      </c>
      <c r="D1372" s="519">
        <v>6000</v>
      </c>
      <c r="E1372" s="520">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21" t="s">
        <v>1002</v>
      </c>
      <c r="B1373" s="521">
        <v>700</v>
      </c>
      <c r="C1373" s="528">
        <v>2000</v>
      </c>
      <c r="D1373" s="519">
        <v>6000</v>
      </c>
      <c r="E1373" s="520">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21" t="s">
        <v>1002</v>
      </c>
      <c r="B1374" s="521">
        <v>800</v>
      </c>
      <c r="C1374" s="528">
        <v>2000</v>
      </c>
      <c r="D1374" s="519">
        <v>6000</v>
      </c>
      <c r="E1374" s="520">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21" t="s">
        <v>1002</v>
      </c>
      <c r="B1375" s="521">
        <v>900</v>
      </c>
      <c r="C1375" s="528">
        <v>2000</v>
      </c>
      <c r="D1375" s="519">
        <v>6000</v>
      </c>
      <c r="E1375" s="520">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21" t="s">
        <v>1002</v>
      </c>
      <c r="B1376" s="521">
        <v>700</v>
      </c>
      <c r="C1376" s="528">
        <v>3000</v>
      </c>
      <c r="D1376" s="519">
        <v>6000</v>
      </c>
      <c r="E1376" s="520">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21" t="s">
        <v>1002</v>
      </c>
      <c r="B1377" s="521">
        <v>800</v>
      </c>
      <c r="C1377" s="528">
        <v>3000</v>
      </c>
      <c r="D1377" s="519">
        <v>6000</v>
      </c>
      <c r="E1377" s="520">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21" t="s">
        <v>1002</v>
      </c>
      <c r="B1378" s="521">
        <v>900</v>
      </c>
      <c r="C1378" s="528">
        <v>3000</v>
      </c>
      <c r="D1378" s="519">
        <v>6000</v>
      </c>
      <c r="E1378" s="520">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21" t="s">
        <v>1002</v>
      </c>
      <c r="B1379" s="521">
        <v>700</v>
      </c>
      <c r="C1379" s="528">
        <v>1000</v>
      </c>
      <c r="D1379" s="519">
        <v>6900</v>
      </c>
      <c r="E1379" s="520">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21" t="s">
        <v>1002</v>
      </c>
      <c r="B1380" s="521">
        <v>800</v>
      </c>
      <c r="C1380" s="528">
        <v>1000</v>
      </c>
      <c r="D1380" s="519">
        <v>6900</v>
      </c>
      <c r="E1380" s="520">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21" t="s">
        <v>1002</v>
      </c>
      <c r="B1381" s="521">
        <v>900</v>
      </c>
      <c r="C1381" s="528">
        <v>1000</v>
      </c>
      <c r="D1381" s="519">
        <v>6900</v>
      </c>
      <c r="E1381" s="520">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21" t="s">
        <v>1002</v>
      </c>
      <c r="B1382" s="521">
        <v>700</v>
      </c>
      <c r="C1382" s="528">
        <v>2000</v>
      </c>
      <c r="D1382" s="519">
        <v>6900</v>
      </c>
      <c r="E1382" s="520">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21" t="s">
        <v>1002</v>
      </c>
      <c r="B1383" s="521">
        <v>800</v>
      </c>
      <c r="C1383" s="528">
        <v>2000</v>
      </c>
      <c r="D1383" s="519">
        <v>6900</v>
      </c>
      <c r="E1383" s="520">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21" t="s">
        <v>1002</v>
      </c>
      <c r="B1384" s="521">
        <v>900</v>
      </c>
      <c r="C1384" s="528">
        <v>2000</v>
      </c>
      <c r="D1384" s="519">
        <v>6900</v>
      </c>
      <c r="E1384" s="520">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21" t="s">
        <v>1002</v>
      </c>
      <c r="B1385" s="521">
        <v>700</v>
      </c>
      <c r="C1385" s="528">
        <v>3000</v>
      </c>
      <c r="D1385" s="519">
        <v>6900</v>
      </c>
      <c r="E1385" s="520">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21" t="s">
        <v>1002</v>
      </c>
      <c r="B1386" s="521">
        <v>800</v>
      </c>
      <c r="C1386" s="528">
        <v>3000</v>
      </c>
      <c r="D1386" s="519">
        <v>6900</v>
      </c>
      <c r="E1386" s="520">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21" t="s">
        <v>1002</v>
      </c>
      <c r="B1387" s="521">
        <v>900</v>
      </c>
      <c r="C1387" s="528">
        <v>3000</v>
      </c>
      <c r="D1387" s="519">
        <v>6900</v>
      </c>
      <c r="E1387" s="520">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22" t="s">
        <v>1097</v>
      </c>
      <c r="B1388" s="522"/>
      <c r="C1388" s="522"/>
      <c r="D1388" s="522"/>
      <c r="E1388" s="524">
        <f>(E1370+E1371+E1372+E1373+E1374+E1375+E1376+E1377+E1378)-(E1379+E1380+E1381+E1382+E1383+E1384+E1385+E1386+E1387)</f>
        <v>0</v>
      </c>
    </row>
    <row r="1437" spans="1:5" x14ac:dyDescent="0.2">
      <c r="A1437" s="519" t="s">
        <v>1098</v>
      </c>
      <c r="B1437" s="519" t="s">
        <v>986</v>
      </c>
      <c r="C1437" s="519" t="s">
        <v>986</v>
      </c>
      <c r="D1437" s="519">
        <v>6000</v>
      </c>
      <c r="E1437" s="520">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22" t="s">
        <v>1099</v>
      </c>
      <c r="B1438" s="522"/>
      <c r="C1438" s="522"/>
      <c r="D1438" s="522"/>
      <c r="E1438" s="524">
        <f>E1437</f>
        <v>0</v>
      </c>
    </row>
    <row r="1445" spans="1:5" x14ac:dyDescent="0.2">
      <c r="A1445" s="519" t="s">
        <v>986</v>
      </c>
      <c r="B1445" s="519" t="s">
        <v>986</v>
      </c>
      <c r="C1445" s="519">
        <v>5000</v>
      </c>
      <c r="D1445" s="519">
        <v>6850</v>
      </c>
      <c r="E1445" s="520">
        <f>SUMIFS('Accounting data'!$G$2:$G$37000,'Accounting data'!$J$2:$J$37000,"5*",'Accounting data'!$K$2:$K$37000,"685*")</f>
        <v>0</v>
      </c>
    </row>
    <row r="1446" spans="1:5" x14ac:dyDescent="0.2">
      <c r="A1446" s="519" t="s">
        <v>987</v>
      </c>
      <c r="B1446" s="519" t="s">
        <v>986</v>
      </c>
      <c r="C1446" s="519">
        <v>5000</v>
      </c>
      <c r="D1446" s="519">
        <v>6850</v>
      </c>
      <c r="E1446" s="520">
        <f>SUMIFS('Accounting data'!$G$2:$G$37000,'Accounting data'!$H$2:$H$37000,"9999*",'Accounting data'!$J$2:$J$37000,"5*",'Accounting data'!$K$2:$K$37000,"685*")</f>
        <v>0</v>
      </c>
    </row>
    <row r="1447" spans="1:5" x14ac:dyDescent="0.2">
      <c r="A1447" s="519" t="s">
        <v>986</v>
      </c>
      <c r="B1447" s="519" t="s">
        <v>988</v>
      </c>
      <c r="C1447" s="519">
        <v>5000</v>
      </c>
      <c r="D1447" s="519">
        <v>6850</v>
      </c>
      <c r="E1447" s="520">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21" t="s">
        <v>987</v>
      </c>
      <c r="B1448" s="519" t="s">
        <v>988</v>
      </c>
      <c r="C1448" s="519">
        <v>5000</v>
      </c>
      <c r="D1448" s="519">
        <v>6850</v>
      </c>
      <c r="E1448" s="520">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22" t="s">
        <v>1100</v>
      </c>
      <c r="B1449" s="522"/>
      <c r="C1449" s="522"/>
      <c r="D1449" s="522"/>
      <c r="E1449" s="523">
        <f>(E1445-E1446-E1447)+E1448</f>
        <v>0</v>
      </c>
    </row>
    <row r="1450" spans="1:5" x14ac:dyDescent="0.2">
      <c r="A1450" s="519" t="s">
        <v>986</v>
      </c>
      <c r="B1450" s="519" t="s">
        <v>986</v>
      </c>
      <c r="C1450" s="519">
        <v>1000</v>
      </c>
      <c r="D1450" s="519">
        <v>6800</v>
      </c>
      <c r="E1450" s="520">
        <f t="array" ref="E1450">SUMIFS('Accounting data'!$G$2:$G$37000,'Accounting data'!$J$2:$J$37000,"1*",'Accounting data'!$K$2:$K$37000,"68*")</f>
        <v>34626</v>
      </c>
    </row>
    <row r="1451" spans="1:5" x14ac:dyDescent="0.2">
      <c r="A1451" s="519" t="s">
        <v>987</v>
      </c>
      <c r="B1451" s="519" t="s">
        <v>986</v>
      </c>
      <c r="C1451" s="519">
        <v>1000</v>
      </c>
      <c r="D1451" s="519">
        <v>6800</v>
      </c>
      <c r="E1451" s="520">
        <f t="array" ref="E1451">SUMIFS('Accounting data'!$G$2:$G$37000,'Accounting data'!$H$2:$H$37000,"9999*",'Accounting data'!$J$2:$J$37000,"1*",'Accounting data'!$K$2:$K$37000,"68*")</f>
        <v>0</v>
      </c>
    </row>
    <row r="1452" spans="1:5" x14ac:dyDescent="0.2">
      <c r="A1452" s="519" t="s">
        <v>986</v>
      </c>
      <c r="B1452" s="519" t="s">
        <v>988</v>
      </c>
      <c r="C1452" s="519">
        <v>1000</v>
      </c>
      <c r="D1452" s="519">
        <v>6800</v>
      </c>
      <c r="E1452" s="520">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21" t="s">
        <v>987</v>
      </c>
      <c r="B1453" s="519" t="s">
        <v>988</v>
      </c>
      <c r="C1453" s="519">
        <v>1000</v>
      </c>
      <c r="D1453" s="519">
        <v>6800</v>
      </c>
      <c r="E1453" s="520">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22" t="s">
        <v>1101</v>
      </c>
      <c r="B1454" s="522"/>
      <c r="C1454" s="522"/>
      <c r="D1454" s="522"/>
      <c r="E1454" s="523">
        <f>(E1450-E1451-E1452)+E1453</f>
        <v>34626</v>
      </c>
    </row>
    <row r="1455" spans="1:5" x14ac:dyDescent="0.2">
      <c r="A1455" s="519" t="s">
        <v>986</v>
      </c>
      <c r="B1455" s="519" t="s">
        <v>986</v>
      </c>
      <c r="C1455" s="519">
        <v>2100</v>
      </c>
      <c r="D1455" s="519">
        <v>6800</v>
      </c>
      <c r="E1455" s="520">
        <f t="array" ref="E1455">SUMIFS('Accounting data'!$G$2:$G$37000,'Accounting data'!$J$2:$J$37000,"21*",'Accounting data'!$K$2:$K$37000,"68*")</f>
        <v>453</v>
      </c>
    </row>
    <row r="1456" spans="1:5" x14ac:dyDescent="0.2">
      <c r="A1456" s="519" t="s">
        <v>987</v>
      </c>
      <c r="B1456" s="519" t="s">
        <v>986</v>
      </c>
      <c r="C1456" s="519">
        <v>2100</v>
      </c>
      <c r="D1456" s="519">
        <v>6800</v>
      </c>
      <c r="E1456" s="520">
        <f t="array" ref="E1456">SUMIFS('Accounting data'!$G$2:$G$37000,'Accounting data'!$H$2:$H$37000,"9999*",'Accounting data'!$J$2:$J$37000,"21*",'Accounting data'!$K$2:$K$37000,"68*")</f>
        <v>0</v>
      </c>
    </row>
    <row r="1457" spans="1:5" x14ac:dyDescent="0.2">
      <c r="A1457" s="519" t="s">
        <v>986</v>
      </c>
      <c r="B1457" s="519" t="s">
        <v>988</v>
      </c>
      <c r="C1457" s="519">
        <v>2100</v>
      </c>
      <c r="D1457" s="519">
        <v>6800</v>
      </c>
      <c r="E1457" s="520">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21" t="s">
        <v>987</v>
      </c>
      <c r="B1458" s="519" t="s">
        <v>988</v>
      </c>
      <c r="C1458" s="519">
        <v>2100</v>
      </c>
      <c r="D1458" s="519">
        <v>6800</v>
      </c>
      <c r="E1458" s="520">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22" t="s">
        <v>1102</v>
      </c>
      <c r="B1459" s="522"/>
      <c r="C1459" s="522"/>
      <c r="D1459" s="522"/>
      <c r="E1459" s="523">
        <f>(E1455-E1456-E1457)+E1458</f>
        <v>453</v>
      </c>
    </row>
    <row r="1460" spans="1:5" x14ac:dyDescent="0.2">
      <c r="A1460" s="519" t="s">
        <v>986</v>
      </c>
      <c r="B1460" s="519" t="s">
        <v>986</v>
      </c>
      <c r="C1460" s="519">
        <v>2200</v>
      </c>
      <c r="D1460" s="519">
        <v>6800</v>
      </c>
      <c r="E1460" s="520">
        <f t="array" ref="E1460">SUMIFS('Accounting data'!$G$2:$G$37000,'Accounting data'!$J$2:$J$37000,"22*",'Accounting data'!$K$2:$K$37000,"68*")</f>
        <v>1307</v>
      </c>
    </row>
    <row r="1461" spans="1:5" x14ac:dyDescent="0.2">
      <c r="A1461" s="519" t="s">
        <v>987</v>
      </c>
      <c r="B1461" s="519" t="s">
        <v>986</v>
      </c>
      <c r="C1461" s="519">
        <v>2200</v>
      </c>
      <c r="D1461" s="519">
        <v>6800</v>
      </c>
      <c r="E1461" s="520">
        <f t="array" ref="E1461">SUMIFS('Accounting data'!$G$2:$G$37000,'Accounting data'!$H$2:$H$37000,"9999*",'Accounting data'!$J$2:$J$37000,"22*",'Accounting data'!$K$2:$K$37000,"68*")</f>
        <v>0</v>
      </c>
    </row>
    <row r="1462" spans="1:5" x14ac:dyDescent="0.2">
      <c r="A1462" s="519" t="s">
        <v>986</v>
      </c>
      <c r="B1462" s="519" t="s">
        <v>988</v>
      </c>
      <c r="C1462" s="519">
        <v>2200</v>
      </c>
      <c r="D1462" s="519">
        <v>6800</v>
      </c>
      <c r="E1462" s="520">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21" t="s">
        <v>987</v>
      </c>
      <c r="B1463" s="519" t="s">
        <v>988</v>
      </c>
      <c r="C1463" s="519">
        <v>2200</v>
      </c>
      <c r="D1463" s="519">
        <v>6800</v>
      </c>
      <c r="E1463" s="520">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22" t="s">
        <v>1103</v>
      </c>
      <c r="B1464" s="522"/>
      <c r="C1464" s="522"/>
      <c r="D1464" s="522"/>
      <c r="E1464" s="523">
        <f>(E1460-E1461-E1462)+E1463</f>
        <v>1307</v>
      </c>
    </row>
    <row r="1465" spans="1:5" x14ac:dyDescent="0.2">
      <c r="A1465" s="519" t="s">
        <v>986</v>
      </c>
      <c r="B1465" s="519" t="s">
        <v>986</v>
      </c>
      <c r="C1465" s="519">
        <v>2300</v>
      </c>
      <c r="D1465" s="519">
        <v>6800</v>
      </c>
      <c r="E1465" s="520">
        <f t="array" ref="E1465">SUMIFS('Accounting data'!$G$2:$G$37000,'Accounting data'!$J$2:$J$37000,"23*",'Accounting data'!$K$2:$K$37000,"68*")</f>
        <v>3741</v>
      </c>
    </row>
    <row r="1466" spans="1:5" x14ac:dyDescent="0.2">
      <c r="A1466" s="519" t="s">
        <v>987</v>
      </c>
      <c r="B1466" s="519" t="s">
        <v>986</v>
      </c>
      <c r="C1466" s="519">
        <v>2300</v>
      </c>
      <c r="D1466" s="519">
        <v>6800</v>
      </c>
      <c r="E1466" s="520">
        <f t="array" ref="E1466">SUMIFS('Accounting data'!$G$2:$G$37000,'Accounting data'!$H$2:$H$37000,"9999*",'Accounting data'!$J$2:$J$37000,"23*",'Accounting data'!$K$2:$K$37000,"68*")</f>
        <v>0</v>
      </c>
    </row>
    <row r="1467" spans="1:5" x14ac:dyDescent="0.2">
      <c r="A1467" s="519" t="s">
        <v>986</v>
      </c>
      <c r="B1467" s="519" t="s">
        <v>988</v>
      </c>
      <c r="C1467" s="519">
        <v>2300</v>
      </c>
      <c r="D1467" s="519">
        <v>6800</v>
      </c>
      <c r="E1467" s="520">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21" t="s">
        <v>987</v>
      </c>
      <c r="B1468" s="519" t="s">
        <v>988</v>
      </c>
      <c r="C1468" s="519">
        <v>2300</v>
      </c>
      <c r="D1468" s="519">
        <v>6800</v>
      </c>
      <c r="E1468" s="520">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22" t="s">
        <v>1104</v>
      </c>
      <c r="B1469" s="522"/>
      <c r="C1469" s="522"/>
      <c r="D1469" s="522"/>
      <c r="E1469" s="523">
        <f>(E1465-E1466-E1467)+E1468</f>
        <v>3741</v>
      </c>
    </row>
    <row r="1470" spans="1:5" x14ac:dyDescent="0.2">
      <c r="A1470" s="519" t="s">
        <v>986</v>
      </c>
      <c r="B1470" s="519" t="s">
        <v>986</v>
      </c>
      <c r="C1470" s="519">
        <v>2400</v>
      </c>
      <c r="D1470" s="519">
        <v>6800</v>
      </c>
      <c r="E1470" s="520">
        <f t="array" ref="E1470">SUMIFS('Accounting data'!$G$2:$G$37000,'Accounting data'!$J$2:$J$37000,"24*",'Accounting data'!$K$2:$K$37000,"68*")</f>
        <v>2256</v>
      </c>
    </row>
    <row r="1471" spans="1:5" x14ac:dyDescent="0.2">
      <c r="A1471" s="519" t="s">
        <v>987</v>
      </c>
      <c r="B1471" s="519" t="s">
        <v>986</v>
      </c>
      <c r="C1471" s="519">
        <v>2400</v>
      </c>
      <c r="D1471" s="519">
        <v>6800</v>
      </c>
      <c r="E1471" s="520">
        <f t="array" ref="E1471">SUMIFS('Accounting data'!$G$2:$G$37000,'Accounting data'!$H$2:$H$37000,"9999*",'Accounting data'!$J$2:$J$37000,"24*",'Accounting data'!$K$2:$K$37000,"68*")</f>
        <v>0</v>
      </c>
    </row>
    <row r="1472" spans="1:5" x14ac:dyDescent="0.2">
      <c r="A1472" s="519" t="s">
        <v>986</v>
      </c>
      <c r="B1472" s="519" t="s">
        <v>988</v>
      </c>
      <c r="C1472" s="519">
        <v>2400</v>
      </c>
      <c r="D1472" s="519">
        <v>6800</v>
      </c>
      <c r="E1472" s="520">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21" t="s">
        <v>987</v>
      </c>
      <c r="B1473" s="519" t="s">
        <v>988</v>
      </c>
      <c r="C1473" s="519">
        <v>2400</v>
      </c>
      <c r="D1473" s="519">
        <v>6800</v>
      </c>
      <c r="E1473" s="520">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22" t="s">
        <v>1105</v>
      </c>
      <c r="B1474" s="522"/>
      <c r="C1474" s="522"/>
      <c r="D1474" s="522"/>
      <c r="E1474" s="523">
        <f>(E1470-E1471-E1472)+E1473</f>
        <v>2256</v>
      </c>
    </row>
    <row r="1475" spans="1:5" x14ac:dyDescent="0.2">
      <c r="A1475" s="519" t="s">
        <v>986</v>
      </c>
      <c r="B1475" s="519" t="s">
        <v>986</v>
      </c>
      <c r="C1475" s="519">
        <v>2500</v>
      </c>
      <c r="D1475" s="519">
        <v>6800</v>
      </c>
      <c r="E1475" s="520">
        <f t="array" ref="E1475">SUMIFS('Accounting data'!$G$2:$G$37000,'Accounting data'!$J$2:$J$37000,"25*",'Accounting data'!$K$2:$K$37000,"68*")</f>
        <v>69946</v>
      </c>
    </row>
    <row r="1476" spans="1:5" x14ac:dyDescent="0.2">
      <c r="A1476" s="519" t="s">
        <v>987</v>
      </c>
      <c r="B1476" s="519" t="s">
        <v>986</v>
      </c>
      <c r="C1476" s="519">
        <v>2500</v>
      </c>
      <c r="D1476" s="519">
        <v>6800</v>
      </c>
      <c r="E1476" s="520">
        <f t="array" ref="E1476">SUMIFS('Accounting data'!$G$2:$G$37000,'Accounting data'!$H$2:$H$37000,"9999*",'Accounting data'!$J$2:$J$37000,"25*",'Accounting data'!$K$2:$K$37000,"68*")</f>
        <v>0</v>
      </c>
    </row>
    <row r="1477" spans="1:5" x14ac:dyDescent="0.2">
      <c r="A1477" s="519" t="s">
        <v>986</v>
      </c>
      <c r="B1477" s="519" t="s">
        <v>988</v>
      </c>
      <c r="C1477" s="519">
        <v>2500</v>
      </c>
      <c r="D1477" s="519">
        <v>6800</v>
      </c>
      <c r="E1477" s="520">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21" t="s">
        <v>987</v>
      </c>
      <c r="B1478" s="519" t="s">
        <v>988</v>
      </c>
      <c r="C1478" s="519">
        <v>2500</v>
      </c>
      <c r="D1478" s="519">
        <v>6800</v>
      </c>
      <c r="E1478" s="520">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22" t="s">
        <v>1106</v>
      </c>
      <c r="B1479" s="522"/>
      <c r="C1479" s="522"/>
      <c r="D1479" s="522"/>
      <c r="E1479" s="523">
        <f>(E1475-E1476-E1477)+E1478</f>
        <v>69946</v>
      </c>
    </row>
    <row r="1480" spans="1:5" x14ac:dyDescent="0.2">
      <c r="A1480" s="519" t="s">
        <v>986</v>
      </c>
      <c r="B1480" s="519" t="s">
        <v>986</v>
      </c>
      <c r="C1480" s="519">
        <v>2900</v>
      </c>
      <c r="D1480" s="519">
        <v>6800</v>
      </c>
      <c r="E1480" s="520">
        <f t="array" ref="E1480">SUMIFS('Accounting data'!$G$2:$G$37000,'Accounting data'!$J$2:$J$37000,"29*",'Accounting data'!$K$2:$K$37000,"68*")</f>
        <v>0</v>
      </c>
    </row>
    <row r="1481" spans="1:5" x14ac:dyDescent="0.2">
      <c r="A1481" s="519" t="s">
        <v>987</v>
      </c>
      <c r="B1481" s="519" t="s">
        <v>986</v>
      </c>
      <c r="C1481" s="519">
        <v>2900</v>
      </c>
      <c r="D1481" s="519">
        <v>6800</v>
      </c>
      <c r="E1481" s="520">
        <f t="array" ref="E1481">SUMIFS('Accounting data'!$G$2:$G$37000,'Accounting data'!$H$2:$H$37000,"9999*",'Accounting data'!$J$2:$J$37000,"29*",'Accounting data'!$K$2:$K$37000,"68*")</f>
        <v>0</v>
      </c>
    </row>
    <row r="1482" spans="1:5" x14ac:dyDescent="0.2">
      <c r="A1482" s="519" t="s">
        <v>986</v>
      </c>
      <c r="B1482" s="519" t="s">
        <v>988</v>
      </c>
      <c r="C1482" s="519">
        <v>2900</v>
      </c>
      <c r="D1482" s="519">
        <v>6800</v>
      </c>
      <c r="E1482" s="520">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21" t="s">
        <v>987</v>
      </c>
      <c r="B1483" s="519" t="s">
        <v>988</v>
      </c>
      <c r="C1483" s="519">
        <v>2900</v>
      </c>
      <c r="D1483" s="519">
        <v>6800</v>
      </c>
      <c r="E1483" s="520">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22" t="s">
        <v>1107</v>
      </c>
      <c r="B1484" s="522"/>
      <c r="C1484" s="522"/>
      <c r="D1484" s="522"/>
      <c r="E1484" s="523">
        <f>(E1480-E1481-E1482)+E1483</f>
        <v>0</v>
      </c>
    </row>
    <row r="1485" spans="1:5" x14ac:dyDescent="0.2">
      <c r="A1485" s="519" t="s">
        <v>986</v>
      </c>
      <c r="B1485" s="519" t="s">
        <v>986</v>
      </c>
      <c r="C1485" s="519">
        <v>2600</v>
      </c>
      <c r="D1485" s="519">
        <v>6800</v>
      </c>
      <c r="E1485" s="520">
        <f t="array" ref="E1485">SUMIFS('Accounting data'!$G$2:$G$37000,'Accounting data'!$J$2:$J$37000,"26*",'Accounting data'!$K$2:$K$37000,"68*")</f>
        <v>3082</v>
      </c>
    </row>
    <row r="1486" spans="1:5" x14ac:dyDescent="0.2">
      <c r="A1486" s="519" t="s">
        <v>987</v>
      </c>
      <c r="B1486" s="519" t="s">
        <v>986</v>
      </c>
      <c r="C1486" s="519">
        <v>2600</v>
      </c>
      <c r="D1486" s="519">
        <v>6800</v>
      </c>
      <c r="E1486" s="520">
        <f t="array" ref="E1486">SUMIFS('Accounting data'!$G$2:$G$37000,'Accounting data'!$H$2:$H$37000,"9999*",'Accounting data'!$J$2:$J$37000,"26*",'Accounting data'!$K$2:$K$37000,"68*")</f>
        <v>0</v>
      </c>
    </row>
    <row r="1487" spans="1:5" x14ac:dyDescent="0.2">
      <c r="A1487" s="519" t="s">
        <v>986</v>
      </c>
      <c r="B1487" s="519" t="s">
        <v>988</v>
      </c>
      <c r="C1487" s="519">
        <v>2600</v>
      </c>
      <c r="D1487" s="519">
        <v>6800</v>
      </c>
      <c r="E1487" s="520">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21" t="s">
        <v>987</v>
      </c>
      <c r="B1488" s="519" t="s">
        <v>988</v>
      </c>
      <c r="C1488" s="519">
        <v>2600</v>
      </c>
      <c r="D1488" s="519">
        <v>6800</v>
      </c>
      <c r="E1488" s="520">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22" t="s">
        <v>1108</v>
      </c>
      <c r="B1489" s="522"/>
      <c r="C1489" s="522"/>
      <c r="D1489" s="522"/>
      <c r="E1489" s="523">
        <f>(E1485-E1486-E1487)+E1488</f>
        <v>3082</v>
      </c>
    </row>
    <row r="1490" spans="1:5" x14ac:dyDescent="0.2">
      <c r="A1490" s="519" t="s">
        <v>986</v>
      </c>
      <c r="B1490" s="519" t="s">
        <v>986</v>
      </c>
      <c r="C1490" s="519">
        <v>2700</v>
      </c>
      <c r="D1490" s="519">
        <v>6800</v>
      </c>
      <c r="E1490" s="520">
        <f t="array" ref="E1490">SUMIFS('Accounting data'!$G$2:$G$37000,'Accounting data'!$J$2:$J$37000,"27*",'Accounting data'!$K$2:$K$37000,"68*")</f>
        <v>0</v>
      </c>
    </row>
    <row r="1491" spans="1:5" x14ac:dyDescent="0.2">
      <c r="A1491" s="519" t="s">
        <v>987</v>
      </c>
      <c r="B1491" s="519" t="s">
        <v>986</v>
      </c>
      <c r="C1491" s="519">
        <v>2700</v>
      </c>
      <c r="D1491" s="519">
        <v>6800</v>
      </c>
      <c r="E1491" s="520">
        <f t="array" ref="E1491">SUMIFS('Accounting data'!$G$2:$G$37000,'Accounting data'!$H$2:$H$37000,"9999*",'Accounting data'!$J$2:$J$37000,"27*",'Accounting data'!$K$2:$K$37000,"68*")</f>
        <v>0</v>
      </c>
    </row>
    <row r="1492" spans="1:5" x14ac:dyDescent="0.2">
      <c r="A1492" s="519" t="s">
        <v>986</v>
      </c>
      <c r="B1492" s="519" t="s">
        <v>988</v>
      </c>
      <c r="C1492" s="519">
        <v>2700</v>
      </c>
      <c r="D1492" s="519">
        <v>6800</v>
      </c>
      <c r="E1492" s="520">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21" t="s">
        <v>987</v>
      </c>
      <c r="B1493" s="519" t="s">
        <v>988</v>
      </c>
      <c r="C1493" s="519">
        <v>2700</v>
      </c>
      <c r="D1493" s="519">
        <v>6800</v>
      </c>
      <c r="E1493" s="520">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22" t="s">
        <v>1109</v>
      </c>
      <c r="B1494" s="522"/>
      <c r="C1494" s="522"/>
      <c r="D1494" s="522"/>
      <c r="E1494" s="523">
        <f>(E1490-E1491-E1492)+E1493</f>
        <v>0</v>
      </c>
    </row>
    <row r="1495" spans="1:5" x14ac:dyDescent="0.2">
      <c r="A1495" s="519" t="s">
        <v>986</v>
      </c>
      <c r="B1495" s="519" t="s">
        <v>986</v>
      </c>
      <c r="C1495" s="519">
        <v>3100</v>
      </c>
      <c r="D1495" s="519">
        <v>6800</v>
      </c>
      <c r="E1495" s="520">
        <f t="array" ref="E1495">SUMIFS('Accounting data'!$G$2:$G$37000,'Accounting data'!$J$2:$J$37000,"31*",'Accounting data'!$K$2:$K$37000,"68*")</f>
        <v>0</v>
      </c>
    </row>
    <row r="1496" spans="1:5" x14ac:dyDescent="0.2">
      <c r="A1496" s="519" t="s">
        <v>987</v>
      </c>
      <c r="B1496" s="519" t="s">
        <v>986</v>
      </c>
      <c r="C1496" s="519">
        <v>3100</v>
      </c>
      <c r="D1496" s="519">
        <v>6800</v>
      </c>
      <c r="E1496" s="520">
        <f t="array" ref="E1496">SUMIFS('Accounting data'!$G$2:$G$37000,'Accounting data'!$H$2:$H$37000,"9999*",'Accounting data'!$J$2:$J$37000,"31*",'Accounting data'!$K$2:$K$37000,"68*")</f>
        <v>0</v>
      </c>
    </row>
    <row r="1497" spans="1:5" x14ac:dyDescent="0.2">
      <c r="A1497" s="519" t="s">
        <v>986</v>
      </c>
      <c r="B1497" s="519" t="s">
        <v>988</v>
      </c>
      <c r="C1497" s="519">
        <v>3100</v>
      </c>
      <c r="D1497" s="519">
        <v>6800</v>
      </c>
      <c r="E1497" s="520">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21" t="s">
        <v>987</v>
      </c>
      <c r="B1498" s="519" t="s">
        <v>988</v>
      </c>
      <c r="C1498" s="519">
        <v>3100</v>
      </c>
      <c r="D1498" s="519">
        <v>6800</v>
      </c>
      <c r="E1498" s="520">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22" t="s">
        <v>1110</v>
      </c>
      <c r="B1499" s="522"/>
      <c r="C1499" s="522"/>
      <c r="D1499" s="522"/>
      <c r="E1499" s="523">
        <f>(E1495-E1496-E1497)+E1498</f>
        <v>0</v>
      </c>
    </row>
    <row r="1500" spans="1:5" x14ac:dyDescent="0.2">
      <c r="A1500" s="519" t="s">
        <v>986</v>
      </c>
      <c r="B1500" s="519" t="s">
        <v>986</v>
      </c>
      <c r="C1500" s="519">
        <v>3400</v>
      </c>
      <c r="D1500" s="519">
        <v>6800</v>
      </c>
      <c r="E1500" s="520">
        <f t="array" ref="E1500">SUMIFS('Accounting data'!$G$2:$G$37000,'Accounting data'!$J$2:$J$37000,"34*",'Accounting data'!$K$2:$K$37000,"68*")</f>
        <v>0</v>
      </c>
    </row>
    <row r="1501" spans="1:5" x14ac:dyDescent="0.2">
      <c r="A1501" s="519" t="s">
        <v>987</v>
      </c>
      <c r="B1501" s="519" t="s">
        <v>986</v>
      </c>
      <c r="C1501" s="519">
        <v>3400</v>
      </c>
      <c r="D1501" s="519">
        <v>6800</v>
      </c>
      <c r="E1501" s="520">
        <f t="array" ref="E1501">SUMIFS('Accounting data'!$G$2:$G$37000,'Accounting data'!$H$2:$H$37000,"9999*",'Accounting data'!$J$2:$J$37000,"34*",'Accounting data'!$K$2:$K$37000,"68*")</f>
        <v>0</v>
      </c>
    </row>
    <row r="1502" spans="1:5" x14ac:dyDescent="0.2">
      <c r="A1502" s="519" t="s">
        <v>986</v>
      </c>
      <c r="B1502" s="519" t="s">
        <v>988</v>
      </c>
      <c r="C1502" s="519">
        <v>3400</v>
      </c>
      <c r="D1502" s="519">
        <v>6800</v>
      </c>
      <c r="E1502" s="520">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21" t="s">
        <v>987</v>
      </c>
      <c r="B1503" s="519" t="s">
        <v>988</v>
      </c>
      <c r="C1503" s="519">
        <v>3400</v>
      </c>
      <c r="D1503" s="519">
        <v>6800</v>
      </c>
      <c r="E1503" s="520">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22" t="s">
        <v>1111</v>
      </c>
      <c r="B1504" s="522"/>
      <c r="C1504" s="522"/>
      <c r="D1504" s="522"/>
      <c r="E1504" s="523">
        <f>(E1500-E1501-E1502)+E1503</f>
        <v>0</v>
      </c>
    </row>
    <row r="1505" spans="1:5" ht="15" x14ac:dyDescent="0.25">
      <c r="A1505" s="525" t="s">
        <v>1112</v>
      </c>
      <c r="B1505" s="525"/>
      <c r="C1505" s="525"/>
      <c r="D1505" s="525"/>
      <c r="E1505" s="526">
        <f>E1454+E1459+E1464+E1469+E1474+E1479+E1484+E1489+E1494+E1499+E1504</f>
        <v>115411</v>
      </c>
    </row>
    <row r="1506" spans="1:5" x14ac:dyDescent="0.2">
      <c r="A1506" s="519" t="s">
        <v>1002</v>
      </c>
      <c r="B1506" s="519" t="s">
        <v>986</v>
      </c>
      <c r="C1506" s="519">
        <v>1000</v>
      </c>
      <c r="D1506" s="519">
        <v>6800</v>
      </c>
      <c r="E1506" s="520">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19" t="s">
        <v>1002</v>
      </c>
      <c r="B1507" s="519" t="s">
        <v>986</v>
      </c>
      <c r="C1507" s="519">
        <v>2000</v>
      </c>
      <c r="D1507" s="519">
        <v>6800</v>
      </c>
      <c r="E1507" s="520">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19" t="s">
        <v>1002</v>
      </c>
      <c r="B1508" s="519" t="s">
        <v>986</v>
      </c>
      <c r="C1508" s="519">
        <v>3000</v>
      </c>
      <c r="D1508" s="519">
        <v>6800</v>
      </c>
      <c r="E1508" s="520">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19" t="s">
        <v>1002</v>
      </c>
      <c r="B1509" s="521">
        <v>700</v>
      </c>
      <c r="C1509" s="519">
        <v>1000</v>
      </c>
      <c r="D1509" s="519">
        <v>6800</v>
      </c>
      <c r="E1509" s="520">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19" t="s">
        <v>1002</v>
      </c>
      <c r="B1510" s="521">
        <v>800</v>
      </c>
      <c r="C1510" s="519">
        <v>1000</v>
      </c>
      <c r="D1510" s="519">
        <v>6800</v>
      </c>
      <c r="E1510" s="520">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19" t="s">
        <v>1002</v>
      </c>
      <c r="B1511" s="521">
        <v>900</v>
      </c>
      <c r="C1511" s="519">
        <v>1000</v>
      </c>
      <c r="D1511" s="519">
        <v>6800</v>
      </c>
      <c r="E1511" s="520">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19" t="s">
        <v>1002</v>
      </c>
      <c r="B1512" s="521">
        <v>700</v>
      </c>
      <c r="C1512" s="519">
        <v>2000</v>
      </c>
      <c r="D1512" s="519">
        <v>6800</v>
      </c>
      <c r="E1512" s="520">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19" t="s">
        <v>1002</v>
      </c>
      <c r="B1513" s="521">
        <v>800</v>
      </c>
      <c r="C1513" s="519">
        <v>2000</v>
      </c>
      <c r="D1513" s="519">
        <v>6800</v>
      </c>
      <c r="E1513" s="520">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19" t="s">
        <v>1002</v>
      </c>
      <c r="B1514" s="521">
        <v>900</v>
      </c>
      <c r="C1514" s="519">
        <v>2000</v>
      </c>
      <c r="D1514" s="519">
        <v>6800</v>
      </c>
      <c r="E1514" s="520">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19" t="s">
        <v>1002</v>
      </c>
      <c r="B1515" s="521">
        <v>700</v>
      </c>
      <c r="C1515" s="519">
        <v>3000</v>
      </c>
      <c r="D1515" s="519">
        <v>6800</v>
      </c>
      <c r="E1515" s="520">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19" t="s">
        <v>1002</v>
      </c>
      <c r="B1516" s="521">
        <v>800</v>
      </c>
      <c r="C1516" s="519">
        <v>3000</v>
      </c>
      <c r="D1516" s="519">
        <v>6800</v>
      </c>
      <c r="E1516" s="520">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19" t="s">
        <v>1002</v>
      </c>
      <c r="B1517" s="521">
        <v>900</v>
      </c>
      <c r="C1517" s="519">
        <v>3000</v>
      </c>
      <c r="D1517" s="519">
        <v>6800</v>
      </c>
      <c r="E1517" s="520">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22" t="s">
        <v>1113</v>
      </c>
      <c r="B1518" s="522"/>
      <c r="C1518" s="522"/>
      <c r="D1518" s="522"/>
      <c r="E1518" s="532">
        <f>(E1506+E1507+E1508)-(E1509+E1510+E1511+E1512+E1513+E1514+E1515+E1516+E1517)</f>
        <v>0</v>
      </c>
    </row>
    <row r="1519" spans="1:5" x14ac:dyDescent="0.2">
      <c r="A1519" s="519" t="s">
        <v>986</v>
      </c>
      <c r="B1519" s="519" t="s">
        <v>986</v>
      </c>
      <c r="C1519" s="519">
        <v>4000</v>
      </c>
      <c r="D1519" s="519">
        <v>6800</v>
      </c>
      <c r="E1519" s="520">
        <f>SUMIFS('Accounting data'!G$2:G$37000,'Accounting data'!J$2:J$37000,"4*",'Accounting data'!K$2:K$37000,"68*")</f>
        <v>0</v>
      </c>
    </row>
    <row r="1520" spans="1:5" x14ac:dyDescent="0.2">
      <c r="A1520" s="519" t="s">
        <v>987</v>
      </c>
      <c r="B1520" s="519" t="s">
        <v>986</v>
      </c>
      <c r="C1520" s="519">
        <v>4000</v>
      </c>
      <c r="D1520" s="519">
        <v>6800</v>
      </c>
      <c r="E1520" s="520">
        <f t="array" ref="E1520">SUMIFS('Accounting data'!$G$2:$G$37000,'Accounting data'!$H$2:$H$37000,"9999*",'Accounting data'!$J$2:$J$37000,"4*",'Accounting data'!$K$2:$K$37000,"68*")</f>
        <v>0</v>
      </c>
    </row>
    <row r="1521" spans="1:5" x14ac:dyDescent="0.2">
      <c r="A1521" s="519" t="s">
        <v>986</v>
      </c>
      <c r="B1521" s="519" t="s">
        <v>988</v>
      </c>
      <c r="C1521" s="519">
        <v>4000</v>
      </c>
      <c r="D1521" s="519">
        <v>6800</v>
      </c>
      <c r="E1521" s="520">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21" t="s">
        <v>987</v>
      </c>
      <c r="B1522" s="519" t="s">
        <v>988</v>
      </c>
      <c r="C1522" s="519">
        <v>4000</v>
      </c>
      <c r="D1522" s="519">
        <v>6800</v>
      </c>
      <c r="E1522" s="520">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22" t="s">
        <v>1114</v>
      </c>
      <c r="B1523" s="522"/>
      <c r="C1523" s="522"/>
      <c r="D1523" s="522"/>
      <c r="E1523" s="523">
        <f>(E1519-E1520-E1521)+E1522</f>
        <v>0</v>
      </c>
    </row>
    <row r="1524" spans="1:5" x14ac:dyDescent="0.2">
      <c r="A1524" s="519" t="s">
        <v>986</v>
      </c>
      <c r="B1524" s="519" t="s">
        <v>986</v>
      </c>
      <c r="C1524" s="519">
        <v>1900</v>
      </c>
      <c r="D1524" s="519">
        <v>6100</v>
      </c>
      <c r="E1524" s="520">
        <f>SUMIFS('Accounting data'!$G$2:$G$37000,'Accounting data'!$J$2:$J$37000,"19*",'Accounting data'!$K$2:$K$37000,"61*")</f>
        <v>0</v>
      </c>
    </row>
    <row r="1525" spans="1:5" x14ac:dyDescent="0.2">
      <c r="A1525" s="519" t="s">
        <v>987</v>
      </c>
      <c r="B1525" s="519" t="s">
        <v>986</v>
      </c>
      <c r="C1525" s="519">
        <v>1900</v>
      </c>
      <c r="D1525" s="519">
        <v>6100</v>
      </c>
      <c r="E1525" s="520">
        <f>SUMIFS('Accounting data'!$G$2:$G$37000,'Accounting data'!$H$2:$H$37000,"9999*",'Accounting data'!$J$2:$J$37000,"19*",'Accounting data'!$K$2:$K$37000,"61*")</f>
        <v>0</v>
      </c>
    </row>
    <row r="1526" spans="1:5" x14ac:dyDescent="0.2">
      <c r="A1526" s="519" t="s">
        <v>986</v>
      </c>
      <c r="B1526" s="519" t="s">
        <v>988</v>
      </c>
      <c r="C1526" s="519">
        <v>1900</v>
      </c>
      <c r="D1526" s="519">
        <v>6100</v>
      </c>
      <c r="E1526" s="520">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21" t="s">
        <v>987</v>
      </c>
      <c r="B1527" s="519" t="s">
        <v>988</v>
      </c>
      <c r="C1527" s="519">
        <v>1900</v>
      </c>
      <c r="D1527" s="519">
        <v>6100</v>
      </c>
      <c r="E1527" s="520">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22" t="s">
        <v>1115</v>
      </c>
      <c r="B1528" s="522"/>
      <c r="C1528" s="522"/>
      <c r="D1528" s="522"/>
      <c r="E1528" s="532">
        <f>(E1524-E1525-E1526)+E1527</f>
        <v>0</v>
      </c>
    </row>
    <row r="1529" spans="1:5" x14ac:dyDescent="0.2">
      <c r="A1529" s="519" t="s">
        <v>1002</v>
      </c>
      <c r="B1529" s="519" t="s">
        <v>986</v>
      </c>
      <c r="C1529" s="519">
        <v>1900</v>
      </c>
      <c r="D1529" s="519">
        <v>6100</v>
      </c>
      <c r="E1529" s="520">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19" t="s">
        <v>1002</v>
      </c>
      <c r="B1530" s="521">
        <v>700</v>
      </c>
      <c r="C1530" s="519">
        <v>1900</v>
      </c>
      <c r="D1530" s="519">
        <v>6100</v>
      </c>
      <c r="E1530" s="520">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19" t="s">
        <v>1002</v>
      </c>
      <c r="B1531" s="521">
        <v>800</v>
      </c>
      <c r="C1531" s="519">
        <v>1900</v>
      </c>
      <c r="D1531" s="519">
        <v>6100</v>
      </c>
      <c r="E1531" s="520">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19" t="s">
        <v>1002</v>
      </c>
      <c r="B1532" s="521">
        <v>900</v>
      </c>
      <c r="C1532" s="519">
        <v>1900</v>
      </c>
      <c r="D1532" s="519">
        <v>6100</v>
      </c>
      <c r="E1532" s="520">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22" t="s">
        <v>1116</v>
      </c>
      <c r="B1533" s="522"/>
      <c r="C1533" s="522"/>
      <c r="D1533" s="522"/>
      <c r="E1533" s="532">
        <f>E1529-(E1530+E1531+E1532)</f>
        <v>0</v>
      </c>
    </row>
    <row r="1534" spans="1:5" x14ac:dyDescent="0.2">
      <c r="A1534" s="525" t="s">
        <v>1117</v>
      </c>
      <c r="B1534" s="525"/>
      <c r="C1534" s="525"/>
      <c r="D1534" s="525"/>
      <c r="E1534" s="529">
        <f>E1528-E1533</f>
        <v>0</v>
      </c>
    </row>
    <row r="1535" spans="1:5" x14ac:dyDescent="0.2">
      <c r="A1535" s="533" t="s">
        <v>986</v>
      </c>
      <c r="B1535" s="533" t="s">
        <v>986</v>
      </c>
      <c r="C1535" s="533">
        <v>5000</v>
      </c>
      <c r="D1535" s="533">
        <v>6800</v>
      </c>
      <c r="E1535" s="534">
        <f>SUMIFS('Accounting data'!G$2:G$37000,'Accounting data'!J$2:J$37000,"5*",'Accounting data'!K$2:K$37000,"68*")</f>
        <v>0</v>
      </c>
    </row>
    <row r="1536" spans="1:5" x14ac:dyDescent="0.2">
      <c r="A1536" s="533" t="s">
        <v>987</v>
      </c>
      <c r="B1536" s="533" t="s">
        <v>986</v>
      </c>
      <c r="C1536" s="533">
        <v>5000</v>
      </c>
      <c r="D1536" s="533">
        <v>6800</v>
      </c>
      <c r="E1536" s="534">
        <f>SUMIFS('Accounting data'!$G$2:$G$37000,'Accounting data'!$H$2:$H$37000,"9999*",'Accounting data'!$J$2:$J$37000,"5*",'Accounting data'!$K$2:$K$37000,"68*")</f>
        <v>0</v>
      </c>
    </row>
    <row r="1537" spans="1:5" x14ac:dyDescent="0.2">
      <c r="A1537" s="533" t="s">
        <v>986</v>
      </c>
      <c r="B1537" s="533" t="s">
        <v>988</v>
      </c>
      <c r="C1537" s="533">
        <v>5000</v>
      </c>
      <c r="D1537" s="533">
        <v>6800</v>
      </c>
      <c r="E1537" s="534">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35" t="s">
        <v>987</v>
      </c>
      <c r="B1538" s="533" t="s">
        <v>988</v>
      </c>
      <c r="C1538" s="533">
        <v>5000</v>
      </c>
      <c r="D1538" s="533">
        <v>6800</v>
      </c>
      <c r="E1538" s="534">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36" t="s">
        <v>1118</v>
      </c>
      <c r="B1539" s="536"/>
      <c r="C1539" s="536"/>
      <c r="D1539" s="536"/>
      <c r="E1539" s="523">
        <f>(E1535-E1536-E1537)+E1538</f>
        <v>0</v>
      </c>
    </row>
  </sheetData>
  <autoFilter ref="A1:E1534" xr:uid="{00000000-0009-0000-0000-000012000000}"/>
  <printOptions horizontalCentered="1"/>
  <pageMargins left="0.7" right="0.7" top="0.75" bottom="0.75" header="0.3" footer="0.3"/>
  <pageSetup scale="28" fitToHeight="8" orientation="portrait" r:id="rId1"/>
  <headerFooter>
    <oddFooter>&amp;LRev. 8/25 Arizona Department of Education and Auditor General&amp;CFY 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D141"/>
  <sheetViews>
    <sheetView showGridLines="0" topLeftCell="A37" workbookViewId="0">
      <selection activeCell="C46" sqref="C46"/>
    </sheetView>
  </sheetViews>
  <sheetFormatPr defaultColWidth="9.33203125" defaultRowHeight="12.75" x14ac:dyDescent="0.2"/>
  <cols>
    <col min="1" max="1" width="11.83203125" style="151" customWidth="1"/>
    <col min="2" max="2" width="25" style="151" customWidth="1"/>
    <col min="3" max="3" width="112.1640625" style="151" customWidth="1"/>
    <col min="4" max="4" width="32.6640625" style="512" customWidth="1"/>
    <col min="5" max="5" width="9.33203125" style="151" customWidth="1"/>
    <col min="6" max="6" width="17.6640625" style="151" customWidth="1"/>
    <col min="7" max="10" width="9.33203125" style="151" customWidth="1"/>
    <col min="11" max="16384" width="9.33203125" style="151"/>
  </cols>
  <sheetData>
    <row r="1" spans="1:4" ht="24.75" customHeight="1" x14ac:dyDescent="0.2">
      <c r="A1" s="698" t="s">
        <v>724</v>
      </c>
      <c r="B1" s="698" t="s">
        <v>725</v>
      </c>
      <c r="C1" s="698" t="s">
        <v>726</v>
      </c>
      <c r="D1" s="698" t="s">
        <v>727</v>
      </c>
    </row>
    <row r="2" spans="1:4" ht="65.25" customHeight="1" x14ac:dyDescent="0.2">
      <c r="A2" s="1000" t="s">
        <v>728</v>
      </c>
      <c r="B2" s="1001"/>
      <c r="C2" s="699" t="s">
        <v>729</v>
      </c>
      <c r="D2" s="700"/>
    </row>
    <row r="3" spans="1:4" ht="68.25" customHeight="1" x14ac:dyDescent="0.2">
      <c r="A3" s="1002"/>
      <c r="B3" s="1003"/>
      <c r="C3" s="701" t="s">
        <v>730</v>
      </c>
      <c r="D3" s="700"/>
    </row>
    <row r="4" spans="1:4" ht="73.5" customHeight="1" x14ac:dyDescent="0.2">
      <c r="A4" s="1002"/>
      <c r="B4" s="1003"/>
      <c r="C4" s="702" t="s">
        <v>1119</v>
      </c>
      <c r="D4" s="700"/>
    </row>
    <row r="5" spans="1:4" ht="216.75" customHeight="1" x14ac:dyDescent="0.2">
      <c r="A5" s="1002"/>
      <c r="B5" s="1003"/>
      <c r="C5" s="703" t="s">
        <v>1340</v>
      </c>
      <c r="D5" s="700"/>
    </row>
    <row r="6" spans="1:4" ht="85.5" customHeight="1" x14ac:dyDescent="0.2">
      <c r="A6" s="1004"/>
      <c r="B6" s="1005"/>
      <c r="C6" s="702" t="s">
        <v>731</v>
      </c>
      <c r="D6" s="700"/>
    </row>
    <row r="7" spans="1:4" ht="54.6" customHeight="1" x14ac:dyDescent="0.2">
      <c r="A7" s="507" t="s">
        <v>732</v>
      </c>
      <c r="B7" s="704" t="s">
        <v>733</v>
      </c>
      <c r="C7" s="702" t="s">
        <v>734</v>
      </c>
      <c r="D7" s="700"/>
    </row>
    <row r="8" spans="1:4" ht="93" customHeight="1" x14ac:dyDescent="0.2">
      <c r="A8" s="507" t="s">
        <v>732</v>
      </c>
      <c r="B8" s="705" t="s">
        <v>1282</v>
      </c>
      <c r="C8" s="684" t="s">
        <v>1291</v>
      </c>
      <c r="D8" s="706" t="s">
        <v>1292</v>
      </c>
    </row>
    <row r="9" spans="1:4" ht="187.5" customHeight="1" x14ac:dyDescent="0.2">
      <c r="A9" s="508" t="s">
        <v>735</v>
      </c>
      <c r="B9" s="704" t="s">
        <v>733</v>
      </c>
      <c r="C9" s="703" t="s">
        <v>1341</v>
      </c>
      <c r="D9" s="700"/>
    </row>
    <row r="10" spans="1:4" ht="189.95" customHeight="1" x14ac:dyDescent="0.2">
      <c r="A10" s="1006" t="s">
        <v>736</v>
      </c>
      <c r="B10" s="1008" t="s">
        <v>728</v>
      </c>
      <c r="C10" s="701" t="s">
        <v>737</v>
      </c>
      <c r="D10" s="700"/>
    </row>
    <row r="11" spans="1:4" ht="217.5" customHeight="1" x14ac:dyDescent="0.2">
      <c r="A11" s="1007"/>
      <c r="B11" s="1009"/>
      <c r="C11" s="707" t="s">
        <v>1283</v>
      </c>
      <c r="D11" s="700"/>
    </row>
    <row r="12" spans="1:4" ht="21" customHeight="1" x14ac:dyDescent="0.2">
      <c r="A12" s="509">
        <v>1</v>
      </c>
      <c r="B12" s="708" t="s">
        <v>728</v>
      </c>
      <c r="C12" s="702" t="s">
        <v>738</v>
      </c>
      <c r="D12" s="700"/>
    </row>
    <row r="13" spans="1:4" ht="54" customHeight="1" x14ac:dyDescent="0.2">
      <c r="A13" s="510">
        <v>1</v>
      </c>
      <c r="B13" s="708" t="s">
        <v>739</v>
      </c>
      <c r="C13" s="709" t="s">
        <v>1342</v>
      </c>
      <c r="D13" s="700"/>
    </row>
    <row r="14" spans="1:4" ht="122.25" customHeight="1" x14ac:dyDescent="0.2">
      <c r="A14" s="510">
        <v>1</v>
      </c>
      <c r="B14" s="710" t="s">
        <v>1343</v>
      </c>
      <c r="C14" s="711" t="s">
        <v>740</v>
      </c>
      <c r="D14" s="700"/>
    </row>
    <row r="15" spans="1:4" ht="69.75" customHeight="1" x14ac:dyDescent="0.2">
      <c r="A15" s="510">
        <v>1</v>
      </c>
      <c r="B15" s="710" t="s">
        <v>1344</v>
      </c>
      <c r="C15" s="712" t="s">
        <v>1345</v>
      </c>
      <c r="D15" s="700"/>
    </row>
    <row r="16" spans="1:4" ht="69.75" customHeight="1" x14ac:dyDescent="0.2">
      <c r="A16" s="510">
        <v>1</v>
      </c>
      <c r="B16" s="710" t="s">
        <v>1346</v>
      </c>
      <c r="C16" s="711" t="s">
        <v>741</v>
      </c>
      <c r="D16" s="700"/>
    </row>
    <row r="17" spans="1:4" ht="129" customHeight="1" x14ac:dyDescent="0.2">
      <c r="A17" s="509">
        <v>2</v>
      </c>
      <c r="B17" s="713" t="s">
        <v>742</v>
      </c>
      <c r="C17" s="711" t="s">
        <v>743</v>
      </c>
      <c r="D17" s="702"/>
    </row>
    <row r="18" spans="1:4" ht="54.75" customHeight="1" x14ac:dyDescent="0.2">
      <c r="A18" s="509">
        <v>2</v>
      </c>
      <c r="B18" s="713" t="s">
        <v>744</v>
      </c>
      <c r="C18" s="714" t="s">
        <v>1351</v>
      </c>
      <c r="D18" s="700"/>
    </row>
    <row r="19" spans="1:4" ht="84" customHeight="1" x14ac:dyDescent="0.2">
      <c r="A19" s="587">
        <v>3</v>
      </c>
      <c r="B19" s="713" t="s">
        <v>162</v>
      </c>
      <c r="C19" s="715" t="s">
        <v>745</v>
      </c>
      <c r="D19" s="716"/>
    </row>
    <row r="20" spans="1:4" ht="54" customHeight="1" x14ac:dyDescent="0.2">
      <c r="A20" s="587">
        <v>3</v>
      </c>
      <c r="B20" s="713" t="s">
        <v>746</v>
      </c>
      <c r="C20" s="715" t="s">
        <v>747</v>
      </c>
      <c r="D20" s="717"/>
    </row>
    <row r="21" spans="1:4" ht="42.75" customHeight="1" x14ac:dyDescent="0.2">
      <c r="A21" s="588">
        <v>3</v>
      </c>
      <c r="B21" s="713" t="s">
        <v>748</v>
      </c>
      <c r="C21" s="715" t="s">
        <v>749</v>
      </c>
      <c r="D21" s="717"/>
    </row>
    <row r="22" spans="1:4" ht="69.75" customHeight="1" x14ac:dyDescent="0.2">
      <c r="A22" s="642">
        <v>3</v>
      </c>
      <c r="B22" s="713" t="s">
        <v>750</v>
      </c>
      <c r="C22" s="715" t="s">
        <v>1139</v>
      </c>
      <c r="D22" s="716"/>
    </row>
    <row r="23" spans="1:4" ht="51" customHeight="1" x14ac:dyDescent="0.2">
      <c r="A23" s="642">
        <v>3</v>
      </c>
      <c r="B23" s="705" t="s">
        <v>838</v>
      </c>
      <c r="C23" s="685" t="s">
        <v>1347</v>
      </c>
      <c r="D23" s="718" t="s">
        <v>1378</v>
      </c>
    </row>
    <row r="24" spans="1:4" ht="124.5" customHeight="1" x14ac:dyDescent="0.2">
      <c r="A24" s="587">
        <v>4</v>
      </c>
      <c r="B24" s="713" t="s">
        <v>751</v>
      </c>
      <c r="C24" s="711" t="s">
        <v>752</v>
      </c>
      <c r="D24" s="719"/>
    </row>
    <row r="25" spans="1:4" ht="53.1" customHeight="1" x14ac:dyDescent="0.2">
      <c r="A25" s="642">
        <v>4</v>
      </c>
      <c r="B25" s="705" t="s">
        <v>838</v>
      </c>
      <c r="C25" s="685" t="s">
        <v>1348</v>
      </c>
      <c r="D25" s="706" t="s">
        <v>1379</v>
      </c>
    </row>
    <row r="26" spans="1:4" ht="59.1" customHeight="1" x14ac:dyDescent="0.2">
      <c r="A26" s="642">
        <v>5</v>
      </c>
      <c r="B26" s="705" t="s">
        <v>838</v>
      </c>
      <c r="C26" s="685" t="s">
        <v>1349</v>
      </c>
      <c r="D26" s="706" t="s">
        <v>1380</v>
      </c>
    </row>
    <row r="27" spans="1:4" ht="99.75" customHeight="1" x14ac:dyDescent="0.2">
      <c r="A27" s="587">
        <v>6</v>
      </c>
      <c r="B27" s="713" t="s">
        <v>753</v>
      </c>
      <c r="C27" s="720" t="s">
        <v>1350</v>
      </c>
      <c r="D27" s="700"/>
    </row>
    <row r="28" spans="1:4" ht="93.75" customHeight="1" x14ac:dyDescent="0.2">
      <c r="A28" s="587">
        <v>6</v>
      </c>
      <c r="B28" s="713" t="s">
        <v>754</v>
      </c>
      <c r="C28" s="712" t="s">
        <v>1371</v>
      </c>
      <c r="D28" s="700"/>
    </row>
    <row r="29" spans="1:4" ht="45.75" customHeight="1" x14ac:dyDescent="0.2">
      <c r="A29" s="587">
        <v>6</v>
      </c>
      <c r="B29" s="713" t="s">
        <v>755</v>
      </c>
      <c r="C29" s="712" t="s">
        <v>1352</v>
      </c>
      <c r="D29" s="700"/>
    </row>
    <row r="30" spans="1:4" ht="111" customHeight="1" x14ac:dyDescent="0.2">
      <c r="A30" s="587">
        <v>6</v>
      </c>
      <c r="B30" s="713" t="s">
        <v>756</v>
      </c>
      <c r="C30" s="712" t="s">
        <v>1372</v>
      </c>
      <c r="D30" s="700"/>
    </row>
    <row r="31" spans="1:4" ht="51" x14ac:dyDescent="0.2">
      <c r="A31" s="587">
        <v>6</v>
      </c>
      <c r="B31" s="713" t="s">
        <v>757</v>
      </c>
      <c r="C31" s="712" t="s">
        <v>1353</v>
      </c>
      <c r="D31" s="700"/>
    </row>
    <row r="32" spans="1:4" ht="173.25" customHeight="1" x14ac:dyDescent="0.2">
      <c r="A32" s="587">
        <v>6</v>
      </c>
      <c r="B32" s="713" t="s">
        <v>758</v>
      </c>
      <c r="C32" s="711" t="s">
        <v>759</v>
      </c>
      <c r="D32" s="700"/>
    </row>
    <row r="33" spans="1:4" ht="69.75" customHeight="1" x14ac:dyDescent="0.2">
      <c r="A33" s="587">
        <v>6</v>
      </c>
      <c r="B33" s="721" t="s">
        <v>760</v>
      </c>
      <c r="C33" s="711" t="s">
        <v>761</v>
      </c>
      <c r="D33" s="700"/>
    </row>
    <row r="34" spans="1:4" ht="53.25" customHeight="1" x14ac:dyDescent="0.2">
      <c r="A34" s="587">
        <v>6</v>
      </c>
      <c r="B34" s="722" t="s">
        <v>1252</v>
      </c>
      <c r="C34" s="723" t="s">
        <v>762</v>
      </c>
      <c r="D34" s="724"/>
    </row>
    <row r="35" spans="1:4" ht="77.25" customHeight="1" x14ac:dyDescent="0.2">
      <c r="A35" s="587">
        <v>6</v>
      </c>
      <c r="B35" s="713" t="s">
        <v>763</v>
      </c>
      <c r="C35" s="699" t="s">
        <v>764</v>
      </c>
      <c r="D35" s="700"/>
    </row>
    <row r="36" spans="1:4" ht="45.75" customHeight="1" x14ac:dyDescent="0.2">
      <c r="A36" s="587">
        <v>6</v>
      </c>
      <c r="B36" s="713" t="s">
        <v>765</v>
      </c>
      <c r="C36" s="711" t="s">
        <v>766</v>
      </c>
      <c r="D36" s="700"/>
    </row>
    <row r="37" spans="1:4" ht="47.25" customHeight="1" x14ac:dyDescent="0.2">
      <c r="A37" s="587">
        <v>6</v>
      </c>
      <c r="B37" s="713" t="s">
        <v>767</v>
      </c>
      <c r="C37" s="711" t="s">
        <v>768</v>
      </c>
      <c r="D37" s="700"/>
    </row>
    <row r="38" spans="1:4" ht="38.25" x14ac:dyDescent="0.2">
      <c r="A38" s="587">
        <v>6</v>
      </c>
      <c r="B38" s="713" t="s">
        <v>769</v>
      </c>
      <c r="C38" s="711" t="s">
        <v>770</v>
      </c>
      <c r="D38" s="700"/>
    </row>
    <row r="39" spans="1:4" ht="38.25" x14ac:dyDescent="0.2">
      <c r="A39" s="587">
        <v>6</v>
      </c>
      <c r="B39" s="713" t="s">
        <v>771</v>
      </c>
      <c r="C39" s="711" t="s">
        <v>772</v>
      </c>
      <c r="D39" s="700"/>
    </row>
    <row r="40" spans="1:4" s="154" customFormat="1" ht="38.25" x14ac:dyDescent="0.2">
      <c r="A40" s="587">
        <v>6</v>
      </c>
      <c r="B40" s="721" t="s">
        <v>773</v>
      </c>
      <c r="C40" s="711" t="s">
        <v>774</v>
      </c>
      <c r="D40" s="717"/>
    </row>
    <row r="41" spans="1:4" s="154" customFormat="1" ht="57.75" customHeight="1" x14ac:dyDescent="0.2">
      <c r="A41" s="587">
        <v>6</v>
      </c>
      <c r="B41" s="721" t="s">
        <v>775</v>
      </c>
      <c r="C41" s="712" t="s">
        <v>1354</v>
      </c>
      <c r="D41" s="725"/>
    </row>
    <row r="42" spans="1:4" s="154" customFormat="1" ht="30.75" customHeight="1" x14ac:dyDescent="0.2">
      <c r="A42" s="587">
        <v>7</v>
      </c>
      <c r="B42" s="713" t="s">
        <v>776</v>
      </c>
      <c r="C42" s="711" t="s">
        <v>777</v>
      </c>
      <c r="D42" s="717"/>
    </row>
    <row r="43" spans="1:4" ht="114.75" customHeight="1" x14ac:dyDescent="0.2">
      <c r="A43" s="587">
        <v>7</v>
      </c>
      <c r="B43" s="713" t="s">
        <v>778</v>
      </c>
      <c r="C43" s="699" t="s">
        <v>779</v>
      </c>
      <c r="D43" s="700"/>
    </row>
    <row r="44" spans="1:4" ht="42" customHeight="1" x14ac:dyDescent="0.2">
      <c r="A44" s="587">
        <v>7</v>
      </c>
      <c r="B44" s="713" t="s">
        <v>780</v>
      </c>
      <c r="C44" s="702" t="s">
        <v>781</v>
      </c>
      <c r="D44" s="700"/>
    </row>
    <row r="45" spans="1:4" ht="39.75" customHeight="1" x14ac:dyDescent="0.2">
      <c r="A45" s="587">
        <v>7</v>
      </c>
      <c r="B45" s="713" t="s">
        <v>782</v>
      </c>
      <c r="C45" s="711" t="s">
        <v>783</v>
      </c>
      <c r="D45" s="700"/>
    </row>
    <row r="46" spans="1:4" ht="54" customHeight="1" x14ac:dyDescent="0.2">
      <c r="A46" s="587">
        <v>8</v>
      </c>
      <c r="B46" s="713" t="s">
        <v>838</v>
      </c>
      <c r="C46" s="709" t="s">
        <v>1355</v>
      </c>
      <c r="D46" s="700"/>
    </row>
    <row r="47" spans="1:4" ht="114" customHeight="1" x14ac:dyDescent="0.2">
      <c r="A47" s="587">
        <v>8</v>
      </c>
      <c r="B47" s="713" t="s">
        <v>307</v>
      </c>
      <c r="C47" s="726" t="s">
        <v>1138</v>
      </c>
      <c r="D47" s="726"/>
    </row>
    <row r="48" spans="1:4" ht="114.75" customHeight="1" x14ac:dyDescent="0.2">
      <c r="A48" s="587">
        <v>8</v>
      </c>
      <c r="B48" s="713" t="s">
        <v>784</v>
      </c>
      <c r="C48" s="711" t="s">
        <v>785</v>
      </c>
      <c r="D48" s="727"/>
    </row>
    <row r="49" spans="1:4" ht="30" customHeight="1" x14ac:dyDescent="0.2">
      <c r="A49" s="587">
        <v>8</v>
      </c>
      <c r="B49" s="713" t="s">
        <v>1137</v>
      </c>
      <c r="C49" s="702" t="s">
        <v>786</v>
      </c>
      <c r="D49" s="700"/>
    </row>
    <row r="50" spans="1:4" ht="265.5" customHeight="1" x14ac:dyDescent="0.2">
      <c r="A50" s="587">
        <v>9</v>
      </c>
      <c r="B50" s="713" t="s">
        <v>728</v>
      </c>
      <c r="C50" s="712" t="s">
        <v>1356</v>
      </c>
      <c r="D50" s="700"/>
    </row>
    <row r="51" spans="1:4" ht="69" customHeight="1" x14ac:dyDescent="0.2">
      <c r="A51" s="587">
        <v>9</v>
      </c>
      <c r="B51" s="713" t="s">
        <v>159</v>
      </c>
      <c r="C51" s="702" t="s">
        <v>1144</v>
      </c>
      <c r="D51" s="700"/>
    </row>
    <row r="52" spans="1:4" ht="69.75" customHeight="1" x14ac:dyDescent="0.2">
      <c r="A52" s="587">
        <v>9</v>
      </c>
      <c r="B52" s="721" t="s">
        <v>389</v>
      </c>
      <c r="C52" s="699" t="s">
        <v>1145</v>
      </c>
      <c r="D52" s="700"/>
    </row>
    <row r="53" spans="1:4" ht="53.25" customHeight="1" x14ac:dyDescent="0.2">
      <c r="A53" s="587">
        <v>9</v>
      </c>
      <c r="B53" s="713" t="s">
        <v>398</v>
      </c>
      <c r="C53" s="728" t="s">
        <v>1146</v>
      </c>
      <c r="D53" s="700"/>
    </row>
    <row r="54" spans="1:4" ht="107.25" customHeight="1" x14ac:dyDescent="0.2">
      <c r="A54" s="586">
        <v>9</v>
      </c>
      <c r="B54" s="721" t="s">
        <v>787</v>
      </c>
      <c r="C54" s="729" t="s">
        <v>788</v>
      </c>
      <c r="D54" s="700"/>
    </row>
    <row r="55" spans="1:4" ht="18" customHeight="1" x14ac:dyDescent="0.2">
      <c r="A55" s="589"/>
      <c r="B55" s="730"/>
      <c r="C55" s="511" t="s">
        <v>789</v>
      </c>
      <c r="D55" s="700"/>
    </row>
    <row r="56" spans="1:4" ht="53.25" customHeight="1" x14ac:dyDescent="0.2">
      <c r="A56" s="589"/>
      <c r="B56" s="730"/>
      <c r="C56" s="729" t="s">
        <v>790</v>
      </c>
      <c r="D56" s="700"/>
    </row>
    <row r="57" spans="1:4" ht="21.75" customHeight="1" x14ac:dyDescent="0.2">
      <c r="A57" s="589"/>
      <c r="B57" s="730"/>
      <c r="C57" s="511" t="s">
        <v>791</v>
      </c>
      <c r="D57" s="700"/>
    </row>
    <row r="58" spans="1:4" ht="52.5" customHeight="1" x14ac:dyDescent="0.2">
      <c r="A58" s="589"/>
      <c r="B58" s="730"/>
      <c r="C58" s="729" t="s">
        <v>792</v>
      </c>
      <c r="D58" s="700"/>
    </row>
    <row r="59" spans="1:4" ht="19.5" customHeight="1" x14ac:dyDescent="0.2">
      <c r="A59" s="590"/>
      <c r="B59" s="730"/>
      <c r="C59" s="511" t="s">
        <v>793</v>
      </c>
      <c r="D59" s="700"/>
    </row>
    <row r="60" spans="1:4" ht="51" customHeight="1" x14ac:dyDescent="0.2">
      <c r="A60" s="590"/>
      <c r="B60" s="730"/>
      <c r="C60" s="729" t="s">
        <v>794</v>
      </c>
      <c r="D60" s="700"/>
    </row>
    <row r="61" spans="1:4" ht="19.5" customHeight="1" x14ac:dyDescent="0.2">
      <c r="A61" s="590"/>
      <c r="B61" s="730"/>
      <c r="C61" s="511" t="s">
        <v>795</v>
      </c>
      <c r="D61" s="700"/>
    </row>
    <row r="62" spans="1:4" ht="29.25" customHeight="1" x14ac:dyDescent="0.2">
      <c r="A62" s="590"/>
      <c r="B62" s="730"/>
      <c r="C62" s="729" t="s">
        <v>796</v>
      </c>
      <c r="D62" s="700"/>
    </row>
    <row r="63" spans="1:4" ht="19.5" customHeight="1" x14ac:dyDescent="0.2">
      <c r="A63" s="591"/>
      <c r="B63" s="730"/>
      <c r="C63" s="511" t="s">
        <v>797</v>
      </c>
      <c r="D63" s="700"/>
    </row>
    <row r="64" spans="1:4" ht="138.75" customHeight="1" x14ac:dyDescent="0.2">
      <c r="A64" s="587">
        <v>9</v>
      </c>
      <c r="B64" s="713" t="s">
        <v>798</v>
      </c>
      <c r="C64" s="699" t="s">
        <v>799</v>
      </c>
      <c r="D64" s="700"/>
    </row>
    <row r="65" spans="1:4" ht="171" customHeight="1" x14ac:dyDescent="0.2">
      <c r="A65" s="587">
        <v>9</v>
      </c>
      <c r="B65" s="704" t="s">
        <v>387</v>
      </c>
      <c r="C65" s="699" t="s">
        <v>800</v>
      </c>
      <c r="D65" s="700"/>
    </row>
    <row r="66" spans="1:4" ht="57" customHeight="1" x14ac:dyDescent="0.2">
      <c r="A66" s="587">
        <v>9</v>
      </c>
      <c r="B66" s="704" t="s">
        <v>801</v>
      </c>
      <c r="C66" s="699" t="s">
        <v>802</v>
      </c>
      <c r="D66" s="700"/>
    </row>
    <row r="67" spans="1:4" ht="213" customHeight="1" x14ac:dyDescent="0.2">
      <c r="A67" s="587">
        <v>9</v>
      </c>
      <c r="B67" s="713" t="s">
        <v>803</v>
      </c>
      <c r="C67" s="711" t="s">
        <v>804</v>
      </c>
      <c r="D67" s="731"/>
    </row>
    <row r="68" spans="1:4" ht="60" customHeight="1" x14ac:dyDescent="0.2">
      <c r="A68" s="587">
        <v>9</v>
      </c>
      <c r="B68" s="713" t="s">
        <v>415</v>
      </c>
      <c r="C68" s="732" t="s">
        <v>805</v>
      </c>
      <c r="D68" s="733"/>
    </row>
    <row r="69" spans="1:4" ht="57.75" customHeight="1" x14ac:dyDescent="0.2">
      <c r="A69" s="586">
        <v>10</v>
      </c>
      <c r="B69" s="713" t="s">
        <v>728</v>
      </c>
      <c r="C69" s="734" t="s">
        <v>806</v>
      </c>
      <c r="D69" s="726"/>
    </row>
    <row r="70" spans="1:4" ht="60" customHeight="1" x14ac:dyDescent="0.2">
      <c r="A70" s="586">
        <v>10</v>
      </c>
      <c r="B70" s="713" t="s">
        <v>420</v>
      </c>
      <c r="C70" s="732" t="s">
        <v>807</v>
      </c>
      <c r="D70" s="726"/>
    </row>
    <row r="71" spans="1:4" ht="60" customHeight="1" x14ac:dyDescent="0.2">
      <c r="A71" s="586">
        <v>10</v>
      </c>
      <c r="B71" s="713" t="s">
        <v>808</v>
      </c>
      <c r="C71" s="715" t="s">
        <v>809</v>
      </c>
      <c r="D71" s="733"/>
    </row>
    <row r="72" spans="1:4" ht="60" customHeight="1" x14ac:dyDescent="0.2">
      <c r="A72" s="586">
        <v>10</v>
      </c>
      <c r="B72" s="713" t="s">
        <v>810</v>
      </c>
      <c r="C72" s="715" t="s">
        <v>811</v>
      </c>
      <c r="D72" s="733"/>
    </row>
    <row r="73" spans="1:4" ht="67.5" customHeight="1" x14ac:dyDescent="0.2">
      <c r="A73" s="586">
        <v>10</v>
      </c>
      <c r="B73" s="713" t="s">
        <v>159</v>
      </c>
      <c r="C73" s="715" t="s">
        <v>812</v>
      </c>
      <c r="D73" s="733"/>
    </row>
    <row r="74" spans="1:4" ht="81.75" customHeight="1" x14ac:dyDescent="0.2">
      <c r="A74" s="586">
        <v>10</v>
      </c>
      <c r="B74" s="713" t="s">
        <v>813</v>
      </c>
      <c r="C74" s="715" t="s">
        <v>814</v>
      </c>
      <c r="D74" s="733"/>
    </row>
    <row r="75" spans="1:4" ht="60" customHeight="1" x14ac:dyDescent="0.2">
      <c r="A75" s="586">
        <v>10</v>
      </c>
      <c r="B75" s="713" t="s">
        <v>815</v>
      </c>
      <c r="C75" s="715" t="s">
        <v>816</v>
      </c>
      <c r="D75" s="733"/>
    </row>
    <row r="76" spans="1:4" ht="60" customHeight="1" x14ac:dyDescent="0.2">
      <c r="A76" s="1010">
        <v>10</v>
      </c>
      <c r="B76" s="1012" t="s">
        <v>458</v>
      </c>
      <c r="C76" s="735" t="s">
        <v>1148</v>
      </c>
      <c r="D76" s="736"/>
    </row>
    <row r="77" spans="1:4" ht="19.5" customHeight="1" x14ac:dyDescent="0.2">
      <c r="A77" s="1011"/>
      <c r="B77" s="1013"/>
      <c r="C77" s="608" t="s">
        <v>817</v>
      </c>
      <c r="D77" s="717"/>
    </row>
    <row r="78" spans="1:4" ht="44.25" customHeight="1" x14ac:dyDescent="0.2">
      <c r="A78" s="586">
        <v>10</v>
      </c>
      <c r="B78" s="713" t="s">
        <v>818</v>
      </c>
      <c r="C78" s="737" t="s">
        <v>819</v>
      </c>
      <c r="D78" s="738"/>
    </row>
    <row r="79" spans="1:4" ht="45.75" customHeight="1" x14ac:dyDescent="0.2">
      <c r="A79" s="586">
        <v>10</v>
      </c>
      <c r="B79" s="713" t="s">
        <v>820</v>
      </c>
      <c r="C79" s="715" t="s">
        <v>821</v>
      </c>
      <c r="D79" s="733"/>
    </row>
    <row r="80" spans="1:4" ht="46.5" customHeight="1" x14ac:dyDescent="0.2">
      <c r="A80" s="586">
        <v>10</v>
      </c>
      <c r="B80" s="713" t="s">
        <v>822</v>
      </c>
      <c r="C80" s="715" t="s">
        <v>823</v>
      </c>
      <c r="D80" s="733"/>
    </row>
    <row r="81" spans="1:4" ht="86.25" customHeight="1" x14ac:dyDescent="0.2">
      <c r="A81" s="586">
        <v>10</v>
      </c>
      <c r="B81" s="713" t="s">
        <v>824</v>
      </c>
      <c r="C81" s="715" t="s">
        <v>825</v>
      </c>
      <c r="D81" s="733"/>
    </row>
    <row r="82" spans="1:4" ht="25.5" x14ac:dyDescent="0.2">
      <c r="A82" s="586">
        <v>10</v>
      </c>
      <c r="B82" s="713" t="s">
        <v>826</v>
      </c>
      <c r="C82" s="715" t="s">
        <v>827</v>
      </c>
      <c r="D82" s="733"/>
    </row>
    <row r="83" spans="1:4" ht="328.5" customHeight="1" x14ac:dyDescent="0.2">
      <c r="A83" s="586">
        <v>10</v>
      </c>
      <c r="B83" s="713" t="s">
        <v>828</v>
      </c>
      <c r="C83" s="711" t="s">
        <v>829</v>
      </c>
      <c r="D83" s="733"/>
    </row>
    <row r="84" spans="1:4" ht="125.25" customHeight="1" x14ac:dyDescent="0.2">
      <c r="A84" s="586">
        <v>10</v>
      </c>
      <c r="B84" s="713" t="s">
        <v>830</v>
      </c>
      <c r="C84" s="712" t="s">
        <v>1357</v>
      </c>
      <c r="D84" s="733"/>
    </row>
    <row r="85" spans="1:4" ht="72" customHeight="1" x14ac:dyDescent="0.2">
      <c r="A85" s="586">
        <v>10</v>
      </c>
      <c r="B85" s="710" t="s">
        <v>1358</v>
      </c>
      <c r="C85" s="709" t="s">
        <v>1359</v>
      </c>
      <c r="D85" s="733"/>
    </row>
    <row r="86" spans="1:4" ht="69" customHeight="1" x14ac:dyDescent="0.2">
      <c r="A86" s="586">
        <v>10</v>
      </c>
      <c r="B86" s="710" t="s">
        <v>1360</v>
      </c>
      <c r="C86" s="711" t="s">
        <v>1361</v>
      </c>
      <c r="D86" s="733"/>
    </row>
    <row r="87" spans="1:4" ht="108.75" customHeight="1" x14ac:dyDescent="0.2">
      <c r="A87" s="586">
        <v>10</v>
      </c>
      <c r="B87" s="713" t="s">
        <v>831</v>
      </c>
      <c r="C87" s="711" t="s">
        <v>1147</v>
      </c>
      <c r="D87" s="733"/>
    </row>
    <row r="88" spans="1:4" ht="130.5" customHeight="1" x14ac:dyDescent="0.2">
      <c r="A88" s="635">
        <v>10</v>
      </c>
      <c r="B88" s="713" t="s">
        <v>832</v>
      </c>
      <c r="C88" s="711" t="s">
        <v>833</v>
      </c>
      <c r="D88" s="736"/>
    </row>
    <row r="89" spans="1:4" customFormat="1" ht="81" customHeight="1" x14ac:dyDescent="0.2">
      <c r="A89" s="739" t="s">
        <v>1209</v>
      </c>
      <c r="B89" s="740" t="s">
        <v>728</v>
      </c>
      <c r="C89" s="741" t="s">
        <v>1286</v>
      </c>
      <c r="D89" s="742" t="s">
        <v>1375</v>
      </c>
    </row>
    <row r="90" spans="1:4" customFormat="1" ht="36" customHeight="1" x14ac:dyDescent="0.2">
      <c r="A90" s="739" t="s">
        <v>1209</v>
      </c>
      <c r="B90" s="740" t="s">
        <v>1250</v>
      </c>
      <c r="C90" s="743" t="s">
        <v>1249</v>
      </c>
      <c r="D90" s="744" t="s">
        <v>1375</v>
      </c>
    </row>
    <row r="91" spans="1:4" customFormat="1" ht="57" customHeight="1" x14ac:dyDescent="0.2">
      <c r="A91" s="739" t="s">
        <v>1209</v>
      </c>
      <c r="B91" s="740" t="s">
        <v>1248</v>
      </c>
      <c r="C91" s="743" t="s">
        <v>1254</v>
      </c>
      <c r="D91" s="744" t="s">
        <v>1375</v>
      </c>
    </row>
    <row r="92" spans="1:4" customFormat="1" ht="38.1" customHeight="1" x14ac:dyDescent="0.2">
      <c r="A92" s="739" t="s">
        <v>1209</v>
      </c>
      <c r="B92" s="740" t="s">
        <v>1247</v>
      </c>
      <c r="C92" s="743" t="s">
        <v>1246</v>
      </c>
      <c r="D92" s="744" t="s">
        <v>1375</v>
      </c>
    </row>
    <row r="93" spans="1:4" customFormat="1" ht="87" customHeight="1" x14ac:dyDescent="0.2">
      <c r="A93" s="739" t="s">
        <v>1209</v>
      </c>
      <c r="B93" s="740" t="s">
        <v>1245</v>
      </c>
      <c r="C93" s="745" t="s">
        <v>1376</v>
      </c>
      <c r="D93" s="744" t="s">
        <v>1375</v>
      </c>
    </row>
    <row r="94" spans="1:4" customFormat="1" ht="46.5" customHeight="1" x14ac:dyDescent="0.2">
      <c r="A94" s="739" t="s">
        <v>1209</v>
      </c>
      <c r="B94" s="740" t="s">
        <v>1244</v>
      </c>
      <c r="C94" s="743" t="s">
        <v>1255</v>
      </c>
      <c r="D94" s="744" t="s">
        <v>1375</v>
      </c>
    </row>
    <row r="95" spans="1:4" customFormat="1" ht="36" customHeight="1" x14ac:dyDescent="0.2">
      <c r="A95" s="739" t="s">
        <v>1209</v>
      </c>
      <c r="B95" s="740" t="s">
        <v>1243</v>
      </c>
      <c r="C95" s="746" t="s">
        <v>1256</v>
      </c>
      <c r="D95" s="744" t="s">
        <v>1375</v>
      </c>
    </row>
    <row r="96" spans="1:4" customFormat="1" ht="33.6" customHeight="1" x14ac:dyDescent="0.2">
      <c r="A96" s="739" t="s">
        <v>1209</v>
      </c>
      <c r="B96" s="740" t="s">
        <v>1242</v>
      </c>
      <c r="C96" s="743" t="s">
        <v>1241</v>
      </c>
      <c r="D96" s="744" t="s">
        <v>1375</v>
      </c>
    </row>
    <row r="97" spans="1:4" customFormat="1" ht="35.25" customHeight="1" x14ac:dyDescent="0.2">
      <c r="A97" s="739" t="s">
        <v>1209</v>
      </c>
      <c r="B97" s="740" t="s">
        <v>1240</v>
      </c>
      <c r="C97" s="743" t="s">
        <v>1239</v>
      </c>
      <c r="D97" s="744" t="s">
        <v>1375</v>
      </c>
    </row>
    <row r="98" spans="1:4" customFormat="1" ht="53.25" customHeight="1" x14ac:dyDescent="0.2">
      <c r="A98" s="739" t="s">
        <v>1209</v>
      </c>
      <c r="B98" s="740" t="s">
        <v>1238</v>
      </c>
      <c r="C98" s="743" t="s">
        <v>1257</v>
      </c>
      <c r="D98" s="744" t="s">
        <v>1375</v>
      </c>
    </row>
    <row r="99" spans="1:4" customFormat="1" ht="35.25" customHeight="1" x14ac:dyDescent="0.2">
      <c r="A99" s="739" t="s">
        <v>1209</v>
      </c>
      <c r="B99" s="740" t="s">
        <v>1237</v>
      </c>
      <c r="C99" s="743" t="s">
        <v>1258</v>
      </c>
      <c r="D99" s="744" t="s">
        <v>1375</v>
      </c>
    </row>
    <row r="100" spans="1:4" customFormat="1" ht="42.6" customHeight="1" x14ac:dyDescent="0.2">
      <c r="A100" s="739" t="s">
        <v>1209</v>
      </c>
      <c r="B100" s="740" t="s">
        <v>1236</v>
      </c>
      <c r="C100" s="747" t="s">
        <v>1235</v>
      </c>
      <c r="D100" s="744" t="s">
        <v>1375</v>
      </c>
    </row>
    <row r="101" spans="1:4" customFormat="1" ht="33.6" customHeight="1" x14ac:dyDescent="0.2">
      <c r="A101" s="739" t="s">
        <v>1209</v>
      </c>
      <c r="B101" s="740" t="s">
        <v>1234</v>
      </c>
      <c r="C101" s="743" t="s">
        <v>1259</v>
      </c>
      <c r="D101" s="744" t="s">
        <v>1375</v>
      </c>
    </row>
    <row r="102" spans="1:4" customFormat="1" ht="41.1" customHeight="1" x14ac:dyDescent="0.2">
      <c r="A102" s="739" t="s">
        <v>1209</v>
      </c>
      <c r="B102" s="740" t="s">
        <v>1233</v>
      </c>
      <c r="C102" s="743" t="s">
        <v>1260</v>
      </c>
      <c r="D102" s="744" t="s">
        <v>1375</v>
      </c>
    </row>
    <row r="103" spans="1:4" customFormat="1" ht="75.599999999999994" customHeight="1" x14ac:dyDescent="0.2">
      <c r="A103" s="996" t="s">
        <v>1209</v>
      </c>
      <c r="B103" s="998" t="s">
        <v>1232</v>
      </c>
      <c r="C103" s="748" t="s">
        <v>1261</v>
      </c>
      <c r="D103" s="749" t="s">
        <v>1375</v>
      </c>
    </row>
    <row r="104" spans="1:4" customFormat="1" ht="15.6" customHeight="1" x14ac:dyDescent="0.2">
      <c r="A104" s="997"/>
      <c r="B104" s="999"/>
      <c r="C104" s="750" t="s">
        <v>1231</v>
      </c>
      <c r="D104" s="751"/>
    </row>
    <row r="105" spans="1:4" customFormat="1" ht="32.1" customHeight="1" x14ac:dyDescent="0.2">
      <c r="A105" s="739" t="s">
        <v>1209</v>
      </c>
      <c r="B105" s="740" t="s">
        <v>1230</v>
      </c>
      <c r="C105" s="747" t="s">
        <v>1262</v>
      </c>
      <c r="D105" s="744" t="s">
        <v>1375</v>
      </c>
    </row>
    <row r="106" spans="1:4" customFormat="1" ht="39" customHeight="1" x14ac:dyDescent="0.2">
      <c r="A106" s="739" t="s">
        <v>1209</v>
      </c>
      <c r="B106" s="740" t="s">
        <v>1229</v>
      </c>
      <c r="C106" s="743" t="s">
        <v>1263</v>
      </c>
      <c r="D106" s="744" t="s">
        <v>1375</v>
      </c>
    </row>
    <row r="107" spans="1:4" customFormat="1" ht="45.6" customHeight="1" x14ac:dyDescent="0.2">
      <c r="A107" s="739" t="s">
        <v>1209</v>
      </c>
      <c r="B107" s="740" t="s">
        <v>1228</v>
      </c>
      <c r="C107" s="743" t="s">
        <v>1264</v>
      </c>
      <c r="D107" s="744" t="s">
        <v>1375</v>
      </c>
    </row>
    <row r="108" spans="1:4" customFormat="1" ht="57.6" customHeight="1" x14ac:dyDescent="0.2">
      <c r="A108" s="739" t="s">
        <v>1209</v>
      </c>
      <c r="B108" s="740" t="s">
        <v>1227</v>
      </c>
      <c r="C108" s="743" t="s">
        <v>1265</v>
      </c>
      <c r="D108" s="744" t="s">
        <v>1375</v>
      </c>
    </row>
    <row r="109" spans="1:4" customFormat="1" ht="44.1" customHeight="1" x14ac:dyDescent="0.2">
      <c r="A109" s="739" t="s">
        <v>1209</v>
      </c>
      <c r="B109" s="740" t="s">
        <v>1226</v>
      </c>
      <c r="C109" s="743" t="s">
        <v>1225</v>
      </c>
      <c r="D109" s="744" t="s">
        <v>1375</v>
      </c>
    </row>
    <row r="110" spans="1:4" customFormat="1" ht="30" customHeight="1" x14ac:dyDescent="0.2">
      <c r="A110" s="739" t="s">
        <v>1209</v>
      </c>
      <c r="B110" s="740" t="s">
        <v>1273</v>
      </c>
      <c r="C110" s="743" t="s">
        <v>1224</v>
      </c>
      <c r="D110" s="744" t="s">
        <v>1375</v>
      </c>
    </row>
    <row r="111" spans="1:4" customFormat="1" ht="39" customHeight="1" x14ac:dyDescent="0.2">
      <c r="A111" s="739" t="s">
        <v>1209</v>
      </c>
      <c r="B111" s="740" t="s">
        <v>1274</v>
      </c>
      <c r="C111" s="743" t="s">
        <v>1223</v>
      </c>
      <c r="D111" s="744" t="s">
        <v>1375</v>
      </c>
    </row>
    <row r="112" spans="1:4" customFormat="1" ht="35.25" customHeight="1" x14ac:dyDescent="0.2">
      <c r="A112" s="739" t="s">
        <v>1209</v>
      </c>
      <c r="B112" s="740" t="s">
        <v>1222</v>
      </c>
      <c r="C112" s="743" t="s">
        <v>1221</v>
      </c>
      <c r="D112" s="744" t="s">
        <v>1375</v>
      </c>
    </row>
    <row r="113" spans="1:4" customFormat="1" ht="39" customHeight="1" x14ac:dyDescent="0.2">
      <c r="A113" s="739" t="s">
        <v>1209</v>
      </c>
      <c r="B113" s="740" t="s">
        <v>1220</v>
      </c>
      <c r="C113" s="743" t="s">
        <v>1219</v>
      </c>
      <c r="D113" s="744" t="s">
        <v>1375</v>
      </c>
    </row>
    <row r="114" spans="1:4" customFormat="1" ht="33.75" customHeight="1" x14ac:dyDescent="0.2">
      <c r="A114" s="739" t="s">
        <v>1209</v>
      </c>
      <c r="B114" s="740" t="s">
        <v>94</v>
      </c>
      <c r="C114" s="743" t="s">
        <v>1218</v>
      </c>
      <c r="D114" s="744" t="s">
        <v>1375</v>
      </c>
    </row>
    <row r="115" spans="1:4" customFormat="1" ht="33.75" customHeight="1" x14ac:dyDescent="0.2">
      <c r="A115" s="739" t="s">
        <v>1209</v>
      </c>
      <c r="B115" s="740" t="s">
        <v>1191</v>
      </c>
      <c r="C115" s="743" t="s">
        <v>1217</v>
      </c>
      <c r="D115" s="744" t="s">
        <v>1375</v>
      </c>
    </row>
    <row r="116" spans="1:4" customFormat="1" ht="51" customHeight="1" x14ac:dyDescent="0.2">
      <c r="A116" s="739" t="s">
        <v>1209</v>
      </c>
      <c r="B116" s="740" t="s">
        <v>1190</v>
      </c>
      <c r="C116" s="743" t="s">
        <v>1216</v>
      </c>
      <c r="D116" s="744" t="s">
        <v>1375</v>
      </c>
    </row>
    <row r="117" spans="1:4" customFormat="1" ht="33" customHeight="1" x14ac:dyDescent="0.2">
      <c r="A117" s="739" t="s">
        <v>1209</v>
      </c>
      <c r="B117" s="740" t="s">
        <v>1215</v>
      </c>
      <c r="C117" s="743" t="s">
        <v>1214</v>
      </c>
      <c r="D117" s="744" t="s">
        <v>1375</v>
      </c>
    </row>
    <row r="118" spans="1:4" customFormat="1" ht="36.75" customHeight="1" x14ac:dyDescent="0.2">
      <c r="A118" s="739" t="s">
        <v>1209</v>
      </c>
      <c r="B118" s="740" t="s">
        <v>1188</v>
      </c>
      <c r="C118" s="743" t="s">
        <v>1213</v>
      </c>
      <c r="D118" s="744" t="s">
        <v>1375</v>
      </c>
    </row>
    <row r="119" spans="1:4" customFormat="1" ht="35.1" customHeight="1" x14ac:dyDescent="0.2">
      <c r="A119" s="739" t="s">
        <v>1209</v>
      </c>
      <c r="B119" s="740" t="s">
        <v>1272</v>
      </c>
      <c r="C119" s="743" t="s">
        <v>1212</v>
      </c>
      <c r="D119" s="744" t="s">
        <v>1375</v>
      </c>
    </row>
    <row r="120" spans="1:4" customFormat="1" ht="31.5" customHeight="1" x14ac:dyDescent="0.2">
      <c r="A120" s="739" t="s">
        <v>1209</v>
      </c>
      <c r="B120" s="740" t="s">
        <v>1271</v>
      </c>
      <c r="C120" s="743" t="s">
        <v>1211</v>
      </c>
      <c r="D120" s="744" t="s">
        <v>1375</v>
      </c>
    </row>
    <row r="121" spans="1:4" customFormat="1" ht="43.5" customHeight="1" x14ac:dyDescent="0.2">
      <c r="A121" s="739" t="s">
        <v>1209</v>
      </c>
      <c r="B121" s="740" t="s">
        <v>1270</v>
      </c>
      <c r="C121" s="743" t="s">
        <v>1266</v>
      </c>
      <c r="D121" s="744" t="s">
        <v>1375</v>
      </c>
    </row>
    <row r="122" spans="1:4" customFormat="1" ht="32.450000000000003" customHeight="1" x14ac:dyDescent="0.2">
      <c r="A122" s="739" t="s">
        <v>1209</v>
      </c>
      <c r="B122" s="740" t="s">
        <v>1269</v>
      </c>
      <c r="C122" s="743" t="s">
        <v>1366</v>
      </c>
      <c r="D122" s="744" t="s">
        <v>1375</v>
      </c>
    </row>
    <row r="123" spans="1:4" customFormat="1" ht="38.25" x14ac:dyDescent="0.2">
      <c r="A123" s="739" t="s">
        <v>1209</v>
      </c>
      <c r="B123" s="740" t="s">
        <v>1268</v>
      </c>
      <c r="C123" s="743" t="s">
        <v>1210</v>
      </c>
      <c r="D123" s="744" t="s">
        <v>1375</v>
      </c>
    </row>
    <row r="124" spans="1:4" ht="81.75" customHeight="1" x14ac:dyDescent="0.2">
      <c r="A124" s="586" t="s">
        <v>834</v>
      </c>
      <c r="B124" s="752" t="s">
        <v>728</v>
      </c>
      <c r="C124" s="753" t="s">
        <v>835</v>
      </c>
      <c r="D124" s="726"/>
    </row>
    <row r="125" spans="1:4" s="8" customFormat="1" ht="29.25" customHeight="1" x14ac:dyDescent="0.2">
      <c r="A125" s="586" t="s">
        <v>834</v>
      </c>
      <c r="B125" s="752" t="s">
        <v>836</v>
      </c>
      <c r="C125" s="754" t="s">
        <v>1363</v>
      </c>
      <c r="D125" s="717"/>
    </row>
    <row r="126" spans="1:4" ht="81" customHeight="1" x14ac:dyDescent="0.2">
      <c r="A126" s="586" t="s">
        <v>834</v>
      </c>
      <c r="B126" s="713" t="s">
        <v>837</v>
      </c>
      <c r="C126" s="755" t="s">
        <v>1364</v>
      </c>
      <c r="D126" s="726"/>
    </row>
    <row r="127" spans="1:4" ht="49.5" customHeight="1" x14ac:dyDescent="0.2">
      <c r="A127" s="586" t="s">
        <v>834</v>
      </c>
      <c r="B127" s="713" t="s">
        <v>838</v>
      </c>
      <c r="C127" s="709" t="s">
        <v>1365</v>
      </c>
      <c r="D127" s="733"/>
    </row>
    <row r="128" spans="1:4" ht="79.5" customHeight="1" x14ac:dyDescent="0.2">
      <c r="A128" s="756" t="s">
        <v>839</v>
      </c>
      <c r="B128" s="752" t="s">
        <v>840</v>
      </c>
      <c r="C128" s="734" t="s">
        <v>1377</v>
      </c>
      <c r="D128" s="757"/>
    </row>
    <row r="129" spans="1:4" ht="51" x14ac:dyDescent="0.2">
      <c r="A129" s="756" t="s">
        <v>839</v>
      </c>
      <c r="B129" s="752" t="s">
        <v>841</v>
      </c>
      <c r="C129" s="755" t="s">
        <v>1367</v>
      </c>
      <c r="D129" s="757"/>
    </row>
    <row r="130" spans="1:4" ht="33.75" customHeight="1" x14ac:dyDescent="0.2">
      <c r="A130" s="756" t="s">
        <v>839</v>
      </c>
      <c r="B130" s="752" t="s">
        <v>842</v>
      </c>
      <c r="C130" s="732" t="s">
        <v>1133</v>
      </c>
      <c r="D130" s="757"/>
    </row>
    <row r="131" spans="1:4" ht="55.5" customHeight="1" x14ac:dyDescent="0.2">
      <c r="A131" s="756" t="s">
        <v>839</v>
      </c>
      <c r="B131" s="752" t="s">
        <v>843</v>
      </c>
      <c r="C131" s="732" t="s">
        <v>844</v>
      </c>
      <c r="D131" s="757"/>
    </row>
    <row r="132" spans="1:4" ht="38.25" x14ac:dyDescent="0.2">
      <c r="A132" s="756" t="s">
        <v>839</v>
      </c>
      <c r="B132" s="752" t="s">
        <v>845</v>
      </c>
      <c r="C132" s="732" t="s">
        <v>846</v>
      </c>
      <c r="D132" s="757"/>
    </row>
    <row r="133" spans="1:4" ht="51" x14ac:dyDescent="0.2">
      <c r="A133" s="756" t="s">
        <v>839</v>
      </c>
      <c r="B133" s="752" t="s">
        <v>847</v>
      </c>
      <c r="C133" s="755" t="s">
        <v>1368</v>
      </c>
      <c r="D133" s="757"/>
    </row>
    <row r="134" spans="1:4" ht="54" customHeight="1" x14ac:dyDescent="0.2">
      <c r="A134" s="756" t="s">
        <v>839</v>
      </c>
      <c r="B134" s="713" t="s">
        <v>1134</v>
      </c>
      <c r="C134" s="755" t="s">
        <v>1369</v>
      </c>
      <c r="D134" s="757"/>
    </row>
    <row r="135" spans="1:4" ht="25.5" x14ac:dyDescent="0.3">
      <c r="A135" s="756" t="s">
        <v>839</v>
      </c>
      <c r="B135" s="752" t="s">
        <v>848</v>
      </c>
      <c r="C135" s="758" t="s">
        <v>849</v>
      </c>
      <c r="D135" s="759"/>
    </row>
    <row r="136" spans="1:4" ht="38.25" x14ac:dyDescent="0.3">
      <c r="A136" s="756" t="s">
        <v>839</v>
      </c>
      <c r="B136" s="752" t="s">
        <v>850</v>
      </c>
      <c r="C136" s="758" t="s">
        <v>851</v>
      </c>
      <c r="D136" s="759"/>
    </row>
    <row r="137" spans="1:4" ht="51" x14ac:dyDescent="0.3">
      <c r="A137" s="756" t="s">
        <v>839</v>
      </c>
      <c r="B137" s="752" t="s">
        <v>852</v>
      </c>
      <c r="C137" s="758" t="s">
        <v>853</v>
      </c>
      <c r="D137" s="759"/>
    </row>
    <row r="138" spans="1:4" ht="56.25" customHeight="1" x14ac:dyDescent="0.3">
      <c r="A138" s="756" t="s">
        <v>839</v>
      </c>
      <c r="B138" s="760" t="s">
        <v>854</v>
      </c>
      <c r="C138" s="758" t="s">
        <v>855</v>
      </c>
      <c r="D138" s="761"/>
    </row>
    <row r="139" spans="1:4" ht="25.5" x14ac:dyDescent="0.2">
      <c r="A139" s="756" t="s">
        <v>839</v>
      </c>
      <c r="B139" s="713" t="s">
        <v>856</v>
      </c>
      <c r="C139" s="732" t="s">
        <v>1135</v>
      </c>
      <c r="D139" s="762"/>
    </row>
    <row r="140" spans="1:4" ht="108" customHeight="1" x14ac:dyDescent="0.2">
      <c r="A140" s="756" t="s">
        <v>839</v>
      </c>
      <c r="B140" s="713" t="s">
        <v>857</v>
      </c>
      <c r="C140" s="763" t="s">
        <v>1370</v>
      </c>
      <c r="D140" s="764"/>
    </row>
    <row r="141" spans="1:4" ht="89.25" x14ac:dyDescent="0.2">
      <c r="A141" s="756" t="s">
        <v>839</v>
      </c>
      <c r="B141" s="713" t="s">
        <v>858</v>
      </c>
      <c r="C141" s="726" t="s">
        <v>1136</v>
      </c>
      <c r="D141" s="764"/>
    </row>
  </sheetData>
  <sheetProtection formatCells="0" formatColumns="0" formatRows="0" sort="0" autoFilter="0"/>
  <autoFilter ref="A1:D141" xr:uid="{00000000-0009-0000-0000-000010000000}"/>
  <mergeCells count="7">
    <mergeCell ref="A103:A104"/>
    <mergeCell ref="B103:B104"/>
    <mergeCell ref="A2:B6"/>
    <mergeCell ref="A10:A11"/>
    <mergeCell ref="B10:B11"/>
    <mergeCell ref="A76:A77"/>
    <mergeCell ref="B76:B77"/>
  </mergeCells>
  <hyperlinks>
    <hyperlink ref="A12" location="'Page 1'!A1" display="'Page 1'!A1" xr:uid="{00000000-0004-0000-1000-000000000000}"/>
    <hyperlink ref="A17" location="'Page 2'!A1" display="'Page 2'!A1" xr:uid="{00000000-0004-0000-1000-000001000000}"/>
    <hyperlink ref="A18" location="'Page 2'!A1" display="'Page 2'!A1" xr:uid="{00000000-0004-0000-1000-000002000000}"/>
    <hyperlink ref="A2:B2" location="'Cover Page'!A1" display="General" xr:uid="{00000000-0004-0000-1000-000003000000}"/>
    <hyperlink ref="A7" location="'Cover Page'!A1" display="Cover" xr:uid="{00000000-0004-0000-1000-000004000000}"/>
    <hyperlink ref="A14" location="'Page 1'!A1" display="'Page 1'!A1" xr:uid="{00000000-0004-0000-1000-000005000000}"/>
    <hyperlink ref="A15" location="'Page 1'!A1" display="'Page 1'!A1" xr:uid="{00000000-0004-0000-1000-000006000000}"/>
    <hyperlink ref="A13" location="'Page 1'!A1" display="'Page 1'!A1" xr:uid="{00000000-0004-0000-1000-000007000000}"/>
    <hyperlink ref="A16" location="'Page 1'!A1" display="'Page 1'!A1" xr:uid="{00000000-0004-0000-1000-000008000000}"/>
    <hyperlink ref="A10" location="'Accounting Data'!A1" display="Accounting data tab" xr:uid="{00000000-0004-0000-1000-000009000000}"/>
    <hyperlink ref="A9" location="'School listing'!A1" display="School listing tab" xr:uid="{00000000-0004-0000-1000-00000A000000}"/>
    <hyperlink ref="C55" r:id="rId1" xr:uid="{00000000-0004-0000-1000-00000B000000}"/>
    <hyperlink ref="C57" r:id="rId2" xr:uid="{00000000-0004-0000-1000-00000C000000}"/>
    <hyperlink ref="C59" r:id="rId3" display="https://www.azed.gov/titlei/sample-page/rural-low-income-schools-rlis/" xr:uid="{00000000-0004-0000-1000-00000D000000}"/>
    <hyperlink ref="C61" r:id="rId4" xr:uid="{00000000-0004-0000-1000-00000E000000}"/>
    <hyperlink ref="C63" r:id="rId5" xr:uid="{00000000-0004-0000-1000-00000F000000}"/>
    <hyperlink ref="A19" location="'Page 3'!A1" display="'Page 3'!A1" xr:uid="{00000000-0004-0000-1000-000010000000}"/>
    <hyperlink ref="A21" location="'Page 3'!A1" display="'Page 3'!A1" xr:uid="{00000000-0004-0000-1000-000011000000}"/>
    <hyperlink ref="A20" location="'Page 3'!A1" display="'Page 3'!A1" xr:uid="{00000000-0004-0000-1000-000012000000}"/>
    <hyperlink ref="A24" location="'Page 4'!A1" display="'Page 4'!A1" xr:uid="{00000000-0004-0000-1000-000013000000}"/>
    <hyperlink ref="A27" location="'Page 6'!A1" display="'Page 6'!A1" xr:uid="{00000000-0004-0000-1000-000014000000}"/>
    <hyperlink ref="A28" location="'Page 6'!A1" display="'Page 6'!A1" xr:uid="{00000000-0004-0000-1000-000015000000}"/>
    <hyperlink ref="A29" location="'Page 6'!A1" display="'Page 6'!A1" xr:uid="{00000000-0004-0000-1000-000016000000}"/>
    <hyperlink ref="A30" location="'Page 6'!A1" display="'Page 6'!A1" xr:uid="{00000000-0004-0000-1000-000017000000}"/>
    <hyperlink ref="A31" location="'Page 6'!A1" display="'Page 6'!A1" xr:uid="{00000000-0004-0000-1000-000018000000}"/>
    <hyperlink ref="A32" location="'Page 6'!A1" display="'Page 6'!A1" xr:uid="{00000000-0004-0000-1000-000019000000}"/>
    <hyperlink ref="A33" location="'Page 6'!A1" display="'Page 6'!A1" xr:uid="{00000000-0004-0000-1000-00001A000000}"/>
    <hyperlink ref="A35" location="'Page 6'!A1" display="'Page 6'!A1" xr:uid="{00000000-0004-0000-1000-00001C000000}"/>
    <hyperlink ref="A36" location="'Page 6'!A1" display="'Page 6'!A1" xr:uid="{00000000-0004-0000-1000-00001D000000}"/>
    <hyperlink ref="A37" location="'Page 6'!A1" display="'Page 6'!A1" xr:uid="{00000000-0004-0000-1000-00001E000000}"/>
    <hyperlink ref="A38" location="'Page 6'!A1" display="'Page 6'!A1" xr:uid="{00000000-0004-0000-1000-00001F000000}"/>
    <hyperlink ref="A39" location="'Page 6'!A1" display="'Page 6'!A1" xr:uid="{00000000-0004-0000-1000-000020000000}"/>
    <hyperlink ref="A40" location="'Page 6'!A1" display="'Page 6'!A1" xr:uid="{00000000-0004-0000-1000-000021000000}"/>
    <hyperlink ref="A41" location="'Page 6'!A1" display="'Page 6'!A1" xr:uid="{00000000-0004-0000-1000-000022000000}"/>
    <hyperlink ref="A42" location="'Page 7'!A1" display="'Page 7'!A1" xr:uid="{00000000-0004-0000-1000-000023000000}"/>
    <hyperlink ref="A43" location="'Page 7'!A1" display="'Page 7'!A1" xr:uid="{00000000-0004-0000-1000-000024000000}"/>
    <hyperlink ref="A44" location="'Page 7'!A1" display="'Page 7'!A1" xr:uid="{00000000-0004-0000-1000-000025000000}"/>
    <hyperlink ref="A45" location="'Page 7'!A1" display="'Page 7'!A1" xr:uid="{00000000-0004-0000-1000-000026000000}"/>
    <hyperlink ref="A47" location="'Page 8'!A1" display="'Page 8'!A1" xr:uid="{00000000-0004-0000-1000-000027000000}"/>
    <hyperlink ref="A48" location="'Page 8'!A1" display="'Page 8'!A1" xr:uid="{00000000-0004-0000-1000-000028000000}"/>
    <hyperlink ref="A49" location="'Page 8'!A1" display="'Page 8'!A1" xr:uid="{00000000-0004-0000-1000-000029000000}"/>
    <hyperlink ref="A50" location="'Page 9'!A1" display="'Page 9'!A1" xr:uid="{00000000-0004-0000-1000-00002A000000}"/>
    <hyperlink ref="A51" location="'Page 9'!A1" display="'Page 9'!A1" xr:uid="{00000000-0004-0000-1000-00002B000000}"/>
    <hyperlink ref="A52" location="'Page 9'!A1" display="'Page 9'!A1" xr:uid="{00000000-0004-0000-1000-00002C000000}"/>
    <hyperlink ref="A53" location="'Page 9'!A1" display="'Page 9'!A1" xr:uid="{00000000-0004-0000-1000-00002D000000}"/>
    <hyperlink ref="A54" location="'Page 9'!A1" display="'Page 9'!A1" xr:uid="{00000000-0004-0000-1000-00002E000000}"/>
    <hyperlink ref="A64" location="'Page 9'!A1" display="'Page 9'!A1" xr:uid="{00000000-0004-0000-1000-00002F000000}"/>
    <hyperlink ref="A65" location="'Page 9'!A1" display="'Page 9'!A1" xr:uid="{00000000-0004-0000-1000-000030000000}"/>
    <hyperlink ref="A66" location="'Page 9'!A1" display="'Page 9'!A1" xr:uid="{00000000-0004-0000-1000-000031000000}"/>
    <hyperlink ref="A67" location="'Page 9'!A1" display="'Page 9'!A1" xr:uid="{00000000-0004-0000-1000-000032000000}"/>
    <hyperlink ref="A68" location="'Page 9'!A1" display="'Page 9'!A1" xr:uid="{00000000-0004-0000-1000-000033000000}"/>
    <hyperlink ref="A70" location="'Page 10'!A1" display="'Page 10'!A1" xr:uid="{00000000-0004-0000-1000-000035000000}"/>
    <hyperlink ref="A128" location="'Reserve Balance'!A1" display="Reserve Balance tab" xr:uid="{00000000-0004-0000-1000-000036000000}"/>
    <hyperlink ref="A129:A134" location="'Reserve Balance'!A1" display="Reserve Balance tab" xr:uid="{00000000-0004-0000-1000-000037000000}"/>
    <hyperlink ref="A139" location="'Reserve Balance'!A25" display="Reserve Balance tab" xr:uid="{00000000-0004-0000-1000-000038000000}"/>
    <hyperlink ref="A140:A141" location="'Reserve Balance'!A25" display="Reserve Balance tab" xr:uid="{00000000-0004-0000-1000-000039000000}"/>
    <hyperlink ref="A69" location="'Page 10'!A1" display="'Page 10'!A1" xr:uid="{00000000-0004-0000-1000-00003A000000}"/>
    <hyperlink ref="A71" location="'Page 10'!A1" display="'Page 10'!A1" xr:uid="{00000000-0004-0000-1000-00003B000000}"/>
    <hyperlink ref="C77" r:id="rId6" display="https://www.azauditor.gov/District_charter_ADE_COVID-19_spending_special_report_FY_2022" xr:uid="{00000000-0004-0000-1000-00003C000000}"/>
    <hyperlink ref="A72" location="'Page 10'!A1" display="'Page 10'!A1" xr:uid="{00000000-0004-0000-1000-00003D000000}"/>
    <hyperlink ref="A88" location="'Page 10'!A1" display="'Page 10'!A1" xr:uid="{00000000-0004-0000-1000-00003E000000}"/>
    <hyperlink ref="A73" location="'Page 10'!A1" display="'Page 10'!A1" xr:uid="{00000000-0004-0000-1000-00003F000000}"/>
    <hyperlink ref="A74" location="'Page 10'!A1" display="'Page 10'!A1" xr:uid="{00000000-0004-0000-1000-000040000000}"/>
    <hyperlink ref="A75" location="'Page 10'!A1" display="'Page 10'!A1" xr:uid="{00000000-0004-0000-1000-000041000000}"/>
    <hyperlink ref="A78" location="'Page 10'!A1" display="'Page 10'!A1" xr:uid="{00000000-0004-0000-1000-000042000000}"/>
    <hyperlink ref="A79" location="'Page 10'!A1" display="'Page 10'!A1" xr:uid="{00000000-0004-0000-1000-000043000000}"/>
    <hyperlink ref="A80" location="'Page 10'!A1" display="'Page 10'!A1" xr:uid="{00000000-0004-0000-1000-000044000000}"/>
    <hyperlink ref="A81" location="'Page 10'!A1" display="'Page 10'!A1" xr:uid="{00000000-0004-0000-1000-000045000000}"/>
    <hyperlink ref="A82" location="'Page 10'!A1" display="'Page 10'!A1" xr:uid="{00000000-0004-0000-1000-000046000000}"/>
    <hyperlink ref="A83" location="'Page 10'!A1" display="'Page 10'!A1" xr:uid="{00000000-0004-0000-1000-000047000000}"/>
    <hyperlink ref="A84" location="'Page 10'!A1" display="'Page 10'!A1" xr:uid="{00000000-0004-0000-1000-000048000000}"/>
    <hyperlink ref="A85" location="'Page 10'!A1" display="'Page 10'!A1" xr:uid="{00000000-0004-0000-1000-000049000000}"/>
    <hyperlink ref="A86" location="'Page 10'!A1" display="'Page 10'!A1" xr:uid="{00000000-0004-0000-1000-00004A000000}"/>
    <hyperlink ref="A87" location="'Page 10'!A1" display="'Page 10'!A1" xr:uid="{00000000-0004-0000-1000-00004B000000}"/>
    <hyperlink ref="A124" location="Summary!A1" display="Summary" xr:uid="{00000000-0004-0000-1000-00004C000000}"/>
    <hyperlink ref="A125" location="Summary!A1" display="Summary" xr:uid="{00000000-0004-0000-1000-00004D000000}"/>
    <hyperlink ref="A126" location="Summary!A1" display="Summary" xr:uid="{00000000-0004-0000-1000-00004E000000}"/>
    <hyperlink ref="A127" location="Summary!A1" display="Summary" xr:uid="{00000000-0004-0000-1000-00004F000000}"/>
    <hyperlink ref="A46" location="'Page 8'!A1" display="'Page 8'!A1" xr:uid="{00000000-0004-0000-1000-000050000000}"/>
    <hyperlink ref="A76:A77" location="'Page 10'!A1" display="'Page 10'!A1" xr:uid="{00000000-0004-0000-1000-000051000000}"/>
    <hyperlink ref="A135" location="'Reserve Balance'!A1" display="Reserve Balance tab" xr:uid="{00000000-0004-0000-1000-000052000000}"/>
    <hyperlink ref="A136" location="'Reserve Balance'!A1" display="Reserve Balance tab" xr:uid="{00000000-0004-0000-1000-000053000000}"/>
    <hyperlink ref="A137" location="'Reserve Balance'!A1" display="Reserve Balance tab" xr:uid="{00000000-0004-0000-1000-000054000000}"/>
    <hyperlink ref="A138" location="'Reserve Balance'!A1" display="Reserve Balance tab" xr:uid="{00000000-0004-0000-1000-000055000000}"/>
    <hyperlink ref="C104" r:id="rId7" xr:uid="{6AAE447B-B858-48A9-8B59-893E4F37DD16}"/>
    <hyperlink ref="A22" location="'Page 3'!A1" display="'Page 3'!A1" xr:uid="{00000000-0004-0000-1000-000034000000}"/>
    <hyperlink ref="A23" location="'Page 3'!A1" display="'Page 3'!A1" xr:uid="{4447963D-6699-41B0-AA5D-8932FE4FF491}"/>
    <hyperlink ref="A26" location="'Page 5'!A1" display="'Page 5'!A1" xr:uid="{9D89D276-0153-4D96-9A77-255222C9D27F}"/>
    <hyperlink ref="A25" location="'Page 4'!A1" display="'Page 4'!A1" xr:uid="{DF5BA6B8-9F54-4383-8DCB-401E7C5C20A9}"/>
    <hyperlink ref="A34" location="'Page 6'!A1" display="'Page 6'!A1" xr:uid="{E915AF1B-9A7F-4983-A69F-96BCB4BC8CE5}"/>
    <hyperlink ref="A89" location="'Food Service'!A1" display="Food Service AFR" xr:uid="{8390BA56-B6BF-494A-B577-6913D87274B7}"/>
    <hyperlink ref="A103" location="'Food Service'!A1" display="Food Service AFR" xr:uid="{FB7E21CA-D34C-40B5-8D16-2C896E314480}"/>
    <hyperlink ref="A105" location="'Food Service'!A1" display="Food Service AFR" xr:uid="{349AB38C-3DA8-4EC8-B395-149189F1BD41}"/>
    <hyperlink ref="A90:A102" location="'Food Service'!A1" display="Food Service AFR" xr:uid="{8557EF55-A031-4FFB-BFB1-0E34F067C231}"/>
    <hyperlink ref="A106:A123" location="'Food Service'!A1" display="Food Service AFR" xr:uid="{500B1D2D-CACD-42DF-9AF7-15D1880921D5}"/>
    <hyperlink ref="A8" location="'Cover Page'!A1" display="Cover" xr:uid="{FBB7D534-D50B-4DF8-8617-E610D20C052A}"/>
  </hyperlinks>
  <printOptions horizontalCentered="1"/>
  <pageMargins left="0.7" right="0.7" top="0.75" bottom="0.75" header="0.3" footer="0.3"/>
  <pageSetup scale="56" fitToHeight="8" orientation="portrait" r:id="rId8"/>
  <headerFooter>
    <oddFooter>&amp;LRev. 8/25 Arizona Department of Education and Auditor General&amp;CFY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43"/>
  <sheetViews>
    <sheetView showGridLines="0" topLeftCell="A7" zoomScaleNormal="100" workbookViewId="0">
      <selection sqref="A1:B1"/>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805" t="s">
        <v>0</v>
      </c>
      <c r="B1" s="805"/>
      <c r="C1" s="1" t="str">
        <f>'Cover Page'!D1</f>
        <v>ASU Preparatory Academy- Polytechnic MS</v>
      </c>
      <c r="G1" s="59" t="s">
        <v>1</v>
      </c>
      <c r="H1" s="813" t="str">
        <f>'Cover Page'!M1</f>
        <v>Maricopa</v>
      </c>
      <c r="I1" s="813"/>
      <c r="L1" s="59" t="s">
        <v>2</v>
      </c>
      <c r="M1" s="812" t="str">
        <f>'Cover Page'!R1</f>
        <v>078251000</v>
      </c>
      <c r="N1" s="813"/>
    </row>
    <row r="2" spans="1:14" x14ac:dyDescent="0.2">
      <c r="F2" s="4"/>
      <c r="G2" s="4"/>
      <c r="H2" t="s">
        <v>20</v>
      </c>
    </row>
    <row r="3" spans="1:14" x14ac:dyDescent="0.2">
      <c r="A3" s="546" t="s">
        <v>21</v>
      </c>
      <c r="B3" s="546"/>
      <c r="D3" s="818" t="s">
        <v>726</v>
      </c>
      <c r="E3" s="818"/>
      <c r="F3" s="818"/>
    </row>
    <row r="4" spans="1:14" x14ac:dyDescent="0.2">
      <c r="A4" s="546" t="s">
        <v>22</v>
      </c>
      <c r="H4" s="60" t="s">
        <v>23</v>
      </c>
      <c r="J4" s="61"/>
      <c r="K4" s="61"/>
      <c r="L4" s="61"/>
    </row>
    <row r="5" spans="1:14" x14ac:dyDescent="0.2">
      <c r="A5" s="7" t="s">
        <v>24</v>
      </c>
      <c r="B5" s="819" t="s">
        <v>25</v>
      </c>
      <c r="C5" s="819"/>
      <c r="D5" s="819"/>
      <c r="H5" s="549">
        <f>-(SUMIFS('Accounting data'!$G$2:$G$37000,'Accounting data'!$K$2:$K$37000,"1310*"))+SUMIFS('Accounting data'!$G$2:$G$37000,'Accounting data'!$H$2:$H$37000,"9999*",'Accounting data'!$K$2:$K$37000,"1310*")</f>
        <v>0</v>
      </c>
      <c r="I5" s="564" t="s">
        <v>24</v>
      </c>
      <c r="J5" s="61"/>
      <c r="K5" s="61"/>
      <c r="L5" s="61"/>
    </row>
    <row r="6" spans="1:14" x14ac:dyDescent="0.2">
      <c r="A6" s="7" t="s">
        <v>26</v>
      </c>
      <c r="B6" s="819" t="s">
        <v>27</v>
      </c>
      <c r="C6" s="819"/>
      <c r="D6" s="819"/>
      <c r="H6" s="549">
        <f>-(SUMIFS('Accounting data'!$G$2:$G$37000,'Accounting data'!$K$2:$K$37000,"1320*"))+SUMIFS('Accounting data'!$G$2:$G$37000,'Accounting data'!$H$2:$H$37000,"9999*",'Accounting data'!$K$2:$K$37000,"1320*")</f>
        <v>0</v>
      </c>
      <c r="I6" s="564" t="s">
        <v>26</v>
      </c>
      <c r="J6" s="61"/>
      <c r="K6" s="61"/>
      <c r="L6" s="61"/>
    </row>
    <row r="7" spans="1:14" ht="12.75" customHeight="1" x14ac:dyDescent="0.2">
      <c r="A7" s="7" t="s">
        <v>28</v>
      </c>
      <c r="B7" s="793" t="s">
        <v>29</v>
      </c>
      <c r="C7" s="793"/>
      <c r="D7" s="793"/>
      <c r="H7" s="549">
        <f>-(SUMIFS('Accounting data'!$G$2:$G$37000,'Accounting data'!$K$2:$K$37000,"1410*"))+SUMIFS('Accounting data'!$G$2:$G$37000,'Accounting data'!$H$2:$H$37000,"9999*",'Accounting data'!$K$2:$K$37000,"1410*")</f>
        <v>0</v>
      </c>
      <c r="I7" s="564" t="s">
        <v>28</v>
      </c>
      <c r="J7" s="816" t="s">
        <v>30</v>
      </c>
      <c r="K7" s="816"/>
      <c r="L7" s="61"/>
    </row>
    <row r="8" spans="1:14" x14ac:dyDescent="0.2">
      <c r="A8" s="7" t="s">
        <v>31</v>
      </c>
      <c r="B8" s="793" t="s">
        <v>32</v>
      </c>
      <c r="C8" s="793"/>
      <c r="D8" s="793"/>
      <c r="H8" s="549">
        <f>-(SUMIFS('Accounting data'!$G$2:$G$37000,'Accounting data'!$K$2:$K$37000,"1420*"))+SUMIFS('Accounting data'!$G$2:$G$37000,'Accounting data'!$H$2:$H$37000,"9999*",'Accounting data'!$K$2:$K$37000,"1420*")</f>
        <v>0</v>
      </c>
      <c r="I8" s="564" t="s">
        <v>31</v>
      </c>
      <c r="J8" s="816"/>
      <c r="K8" s="816"/>
      <c r="L8" s="61"/>
    </row>
    <row r="9" spans="1:14" x14ac:dyDescent="0.2">
      <c r="A9" s="7" t="s">
        <v>33</v>
      </c>
      <c r="B9" s="793" t="s">
        <v>34</v>
      </c>
      <c r="C9" s="793"/>
      <c r="H9" s="549">
        <f>-(SUMIFS('Accounting data'!$G$2:$G$37000,'Accounting data'!$K$2:$K$37000,"1500*"))+SUMIFS('Accounting data'!$G$2:$G$37000,'Accounting data'!$H$2:$H$37000,"9999*",'Accounting data'!$K$2:$K$37000,"1500*")</f>
        <v>11233</v>
      </c>
      <c r="I9" s="564" t="s">
        <v>33</v>
      </c>
      <c r="J9" s="816"/>
      <c r="K9" s="816"/>
      <c r="L9" s="61"/>
    </row>
    <row r="10" spans="1:14" x14ac:dyDescent="0.2">
      <c r="A10" s="664" t="s">
        <v>35</v>
      </c>
      <c r="B10" s="807" t="s">
        <v>1296</v>
      </c>
      <c r="C10" s="807"/>
      <c r="H10" s="549">
        <f>IF('Food Service'!$E$7="",J10,'Food Service'!$E$7)</f>
        <v>0</v>
      </c>
      <c r="I10" s="564" t="s">
        <v>35</v>
      </c>
      <c r="J10" s="817">
        <f>-(SUMIFS('Accounting data'!$G$2:$G$37000,'Accounting data'!$K$2:$K$37000,"1600*"))+SUMIFS('Accounting data'!$G$2:$G$37000,'Accounting data'!$H$2:$H$37000,"9999*",'Accounting data'!$K$2:$K$37000,"1600*")</f>
        <v>0</v>
      </c>
      <c r="K10" s="817"/>
      <c r="L10" s="61" t="str">
        <f>IF(H10&lt;&gt;J10,"The amount reported for 1600 food service revenue from the Food Service AFR does not agree to the amount in the Accounting Data Tab. Please verify the amounts and ensure they agree.","")</f>
        <v/>
      </c>
    </row>
    <row r="11" spans="1:14" x14ac:dyDescent="0.2">
      <c r="A11" s="7" t="s">
        <v>36</v>
      </c>
      <c r="B11" s="793" t="s">
        <v>37</v>
      </c>
      <c r="C11" s="793"/>
      <c r="H11" s="549">
        <f>-(SUMIFS('Accounting data'!$G$2:$G$37000,'Accounting data'!$K$2:$K$37000,"1700*"))+SUMIFS('Accounting data'!$G$2:$G$37000,'Accounting data'!$H$2:$H$37000,"9999*",'Accounting data'!$K$2:$K$37000,"1700*")</f>
        <v>39190</v>
      </c>
      <c r="I11" s="564" t="s">
        <v>36</v>
      </c>
      <c r="J11" s="61"/>
      <c r="K11" s="61"/>
      <c r="L11" s="61"/>
    </row>
    <row r="12" spans="1:14" x14ac:dyDescent="0.2">
      <c r="A12" s="62" t="s">
        <v>38</v>
      </c>
      <c r="B12" s="793" t="s">
        <v>39</v>
      </c>
      <c r="C12" s="793"/>
      <c r="D12" s="793"/>
      <c r="E12" s="793"/>
      <c r="F12" s="793"/>
      <c r="H12" s="549">
        <f>-(SUMIFS('Accounting data'!$G$2:$G$37000,'Accounting data'!$K$2:$K$37000,"1750*"))+SUMIFS('Accounting data'!$G$2:$G$37000,'Accounting data'!$H$2:$H$37000,"9999*",'Accounting data'!$K$2:$K$37000,"1750*")</f>
        <v>0</v>
      </c>
      <c r="I12" s="576" t="s">
        <v>38</v>
      </c>
      <c r="J12" s="61"/>
      <c r="K12" s="61"/>
      <c r="L12" s="61"/>
    </row>
    <row r="13" spans="1:14" x14ac:dyDescent="0.2">
      <c r="A13" s="63" t="s">
        <v>40</v>
      </c>
      <c r="B13" s="793" t="s">
        <v>41</v>
      </c>
      <c r="C13" s="793"/>
      <c r="H13" s="549">
        <f>-(SUMIFS('Accounting data'!$G$2:$G$37000,'Accounting data'!$K$2:$K$37000,"1790*"))+SUMIFS('Accounting data'!$G$2:$G$37000,'Accounting data'!$H$2:$H$37000,"9999*",'Accounting data'!$K$2:$K$37000,"1790*")</f>
        <v>6420</v>
      </c>
      <c r="I13" s="576" t="s">
        <v>40</v>
      </c>
      <c r="J13" s="64"/>
      <c r="K13" s="61"/>
      <c r="L13" s="61"/>
    </row>
    <row r="14" spans="1:14" x14ac:dyDescent="0.2">
      <c r="A14" s="63" t="s">
        <v>42</v>
      </c>
      <c r="B14" s="793" t="s">
        <v>43</v>
      </c>
      <c r="C14" s="793"/>
      <c r="H14" s="669">
        <f>-(SUMIFS('Accounting data'!$G$2:$G$37000,'Accounting data'!$K$2:$K$37000,"1800*"))+SUMIFS('Accounting data'!$G$2:$G$37000,'Accounting data'!$H$2:$H$37000,"9999*",'Accounting data'!$K$2:$K$37000,"1800*")</f>
        <v>43410</v>
      </c>
      <c r="I14" s="576" t="s">
        <v>42</v>
      </c>
      <c r="J14" s="61"/>
      <c r="K14" s="61"/>
      <c r="L14" s="61"/>
    </row>
    <row r="15" spans="1:14" x14ac:dyDescent="0.2">
      <c r="A15" s="63" t="s">
        <v>44</v>
      </c>
      <c r="B15" s="696" t="s">
        <v>1288</v>
      </c>
      <c r="C15" s="694"/>
      <c r="D15" s="695"/>
      <c r="E15" s="694"/>
      <c r="F15" s="695"/>
      <c r="H15" s="669">
        <f>-(SUMIFS('Accounting data'!$G$2:$G$37000,'Accounting data'!$K$2:$K$37000,"1900*"))+SUMIFS('Accounting data'!$G$2:$G$37000,'Accounting data'!$H$2:$H$37000,"9999*",'Accounting data'!$K$2:$K$37000,"1900*")</f>
        <v>142361</v>
      </c>
      <c r="I15" s="576" t="s">
        <v>44</v>
      </c>
      <c r="J15" s="61"/>
      <c r="K15" s="61"/>
      <c r="L15" s="61"/>
    </row>
    <row r="16" spans="1:14" x14ac:dyDescent="0.2">
      <c r="A16" s="63" t="s">
        <v>45</v>
      </c>
      <c r="B16" s="696" t="s">
        <v>1275</v>
      </c>
      <c r="C16" s="696"/>
      <c r="D16" s="696"/>
      <c r="E16" s="696"/>
      <c r="F16" s="696"/>
      <c r="H16" s="669">
        <f>-(SUMIFS('Accounting data'!$G$2:$G$37000,'Accounting data'!$K$2:$K$37000,"1910*"))+SUMIFS('Accounting data'!$G$2:$G$37000,'Accounting data'!$H$2:$H$37000,"9999*",'Accounting data'!$K$2:$K$37000,"1910*")</f>
        <v>0</v>
      </c>
      <c r="I16" s="576" t="s">
        <v>45</v>
      </c>
      <c r="J16" s="61"/>
      <c r="K16" s="61"/>
      <c r="L16" s="61"/>
    </row>
    <row r="17" spans="1:27" x14ac:dyDescent="0.2">
      <c r="A17" s="63" t="s">
        <v>47</v>
      </c>
      <c r="B17" s="793" t="s">
        <v>46</v>
      </c>
      <c r="C17" s="793"/>
      <c r="H17" s="669">
        <f>-(SUMIFS('Accounting data'!$G$2:$G$37000,'Accounting data'!$K$2:$K$37000,"1920*"))+SUMIFS('Accounting data'!$G$2:$G$37000,'Accounting data'!$H$2:$H$37000,"9999*",'Accounting data'!$K$2:$K$37000,"1920*")</f>
        <v>589</v>
      </c>
      <c r="I17" s="576" t="s">
        <v>47</v>
      </c>
      <c r="J17" s="61"/>
      <c r="K17" s="61"/>
      <c r="L17" s="61"/>
    </row>
    <row r="18" spans="1:27" x14ac:dyDescent="0.2">
      <c r="A18" s="63" t="s">
        <v>49</v>
      </c>
      <c r="B18" s="696" t="s">
        <v>1276</v>
      </c>
      <c r="C18" s="696"/>
      <c r="D18" s="696"/>
      <c r="E18" s="696"/>
      <c r="F18" s="696"/>
      <c r="H18" s="669">
        <f>-(SUMIFS('Accounting data'!$G$2:$G$37000,'Accounting data'!$K$2:$K$37000,"1950*"))+SUMIFS('Accounting data'!$G$2:$G$37000,'Accounting data'!$H$2:$H$37000,"9999*",'Accounting data'!$K$2:$K$37000,"1950*")</f>
        <v>0</v>
      </c>
      <c r="I18" s="576" t="s">
        <v>49</v>
      </c>
      <c r="J18" s="61"/>
      <c r="K18" s="61"/>
      <c r="L18" s="61"/>
    </row>
    <row r="19" spans="1:27" x14ac:dyDescent="0.2">
      <c r="A19" s="63" t="s">
        <v>51</v>
      </c>
      <c r="B19" s="696" t="s">
        <v>1277</v>
      </c>
      <c r="C19" s="696"/>
      <c r="D19" s="696"/>
      <c r="E19" s="696"/>
      <c r="F19" s="696"/>
      <c r="H19" s="669">
        <f>-(SUMIFS('Accounting data'!$G$2:$G$37000,'Accounting data'!$K$2:$K$37000,"1960*"))+SUMIFS('Accounting data'!$G$2:$G$37000,'Accounting data'!$H$2:$H$37000,"9999*",'Accounting data'!$K$2:$K$37000,"1960*")</f>
        <v>0</v>
      </c>
      <c r="I19" s="576" t="s">
        <v>51</v>
      </c>
      <c r="J19" s="61"/>
      <c r="K19" s="61"/>
      <c r="L19" s="61"/>
    </row>
    <row r="20" spans="1:27" ht="15" x14ac:dyDescent="0.25">
      <c r="A20" s="668" t="s">
        <v>53</v>
      </c>
      <c r="B20" s="807" t="s">
        <v>48</v>
      </c>
      <c r="C20" s="807"/>
      <c r="D20" s="814"/>
      <c r="E20" s="815"/>
      <c r="F20" s="815"/>
      <c r="H20" s="669">
        <f>-(SUMIFS('Accounting data'!$G$2:$G$37000,'Accounting data'!$K$2:$K$37000,"Other Revenue from Local Sources"))+SUMIFS('Accounting data'!$G$2:$G$37000,'Accounting data'!$H$2:$H$37000,"9999*",'Accounting data'!$K$2:$K$37000,"Other Revenue from Local Sources")</f>
        <v>0</v>
      </c>
      <c r="I20" s="576" t="s">
        <v>53</v>
      </c>
      <c r="J20" s="61"/>
      <c r="K20" s="61"/>
      <c r="L20" s="61"/>
      <c r="AA20" s="48" t="str">
        <f>IF(OR(AND(D20="",H20&lt;&gt;0),AND(D25="",H25&lt;&gt;0),AND(D32="",H32&lt;&gt;0),AND(D40="",H40&lt;&gt;0)),"yes","")</f>
        <v/>
      </c>
    </row>
    <row r="21" spans="1:27" x14ac:dyDescent="0.2">
      <c r="A21" s="668" t="s">
        <v>55</v>
      </c>
      <c r="B21" s="807" t="s">
        <v>1297</v>
      </c>
      <c r="C21" s="807"/>
      <c r="H21" s="548">
        <f>-(SUMIFS('Accounting data'!$G$2:$G$37000,'Accounting data'!$K$2:$K$37000,"1*"))+SUMIFS('Accounting data'!$G$2:$G$37000,'Accounting data'!$H$2:$H$37000,"9999*",'Accounting data'!$K$2:$K$37000,"1*")+H20</f>
        <v>243203</v>
      </c>
      <c r="I21" s="576" t="s">
        <v>55</v>
      </c>
      <c r="J21" s="61"/>
      <c r="K21" s="61"/>
      <c r="L21" s="61"/>
    </row>
    <row r="22" spans="1:27" x14ac:dyDescent="0.2">
      <c r="A22" s="546" t="s">
        <v>50</v>
      </c>
      <c r="B22" s="546"/>
      <c r="H22" s="26"/>
      <c r="I22" s="564" t="s">
        <v>20</v>
      </c>
      <c r="J22" s="61"/>
      <c r="K22" s="61"/>
      <c r="L22" s="61"/>
    </row>
    <row r="23" spans="1:27" x14ac:dyDescent="0.2">
      <c r="A23" s="668" t="s">
        <v>57</v>
      </c>
      <c r="B23" s="807" t="s">
        <v>52</v>
      </c>
      <c r="C23" s="807"/>
      <c r="H23" s="549">
        <f>-(SUMIFS('Accounting data'!$G$2:$G$37000,'Accounting data'!$K$2:$K$37000,"2100*"))+SUMIFS('Accounting data'!$G$2:$G$37000,'Accounting data'!$H$2:$H$37000,"9999*",'Accounting data'!$K$2:$K$37000,"2100*")</f>
        <v>0</v>
      </c>
      <c r="I23" s="576" t="s">
        <v>57</v>
      </c>
      <c r="J23" s="61"/>
      <c r="K23" s="61"/>
      <c r="L23" s="61"/>
    </row>
    <row r="24" spans="1:27" x14ac:dyDescent="0.2">
      <c r="A24" s="668" t="s">
        <v>59</v>
      </c>
      <c r="B24" s="807" t="s">
        <v>54</v>
      </c>
      <c r="C24" s="807"/>
      <c r="H24" s="549">
        <f>-(SUMIFS('Accounting data'!$G$2:$G$37000,'Accounting data'!$K$2:$K$37000,"2200*"))+SUMIFS('Accounting data'!$G$2:$G$37000,'Accounting data'!$H$2:$H$37000,"9999*",'Accounting data'!$K$2:$K$37000,"2200*")</f>
        <v>0</v>
      </c>
      <c r="I24" s="576" t="s">
        <v>59</v>
      </c>
      <c r="J24" s="61"/>
      <c r="K24" s="61"/>
      <c r="L24" s="61"/>
    </row>
    <row r="25" spans="1:27" ht="15" x14ac:dyDescent="0.25">
      <c r="A25" s="668" t="s">
        <v>61</v>
      </c>
      <c r="B25" s="807" t="s">
        <v>56</v>
      </c>
      <c r="C25" s="807"/>
      <c r="D25" s="814"/>
      <c r="E25" s="815"/>
      <c r="F25" s="815"/>
      <c r="H25" s="549">
        <f>-(SUMIFS('Accounting data'!$G$2:$G$37000,'Accounting data'!$K$2:$K$37000,"Other Revenue from Intermediate Sources"))+SUMIFS('Accounting data'!$G$2:$G$37000,'Accounting data'!$H$2:$H$37000,"9999*",'Accounting data'!$K$2:$K$37000,"Other Revenue from Intermediate Sources")</f>
        <v>0</v>
      </c>
      <c r="I25" s="576" t="s">
        <v>61</v>
      </c>
      <c r="J25" s="65"/>
      <c r="K25" s="65"/>
      <c r="L25" s="65"/>
      <c r="M25" s="66"/>
    </row>
    <row r="26" spans="1:27" x14ac:dyDescent="0.2">
      <c r="A26" s="668" t="s">
        <v>63</v>
      </c>
      <c r="B26" s="807" t="s">
        <v>1298</v>
      </c>
      <c r="C26" s="807"/>
      <c r="H26" s="548">
        <f>-(SUMIFS('Accounting data'!$G$2:$G$37000,'Accounting data'!$K$2:$K$37000,"2*"))+SUMIFS('Accounting data'!$G$2:$G$37000,'Accounting data'!$H$2:$H$37000,"9999*",'Accounting data'!$K$2:$K$37000,"2*")+H25</f>
        <v>0</v>
      </c>
      <c r="I26" s="576" t="s">
        <v>63</v>
      </c>
      <c r="J26" s="61"/>
      <c r="K26" s="61"/>
      <c r="L26" s="61"/>
    </row>
    <row r="27" spans="1:27" x14ac:dyDescent="0.2">
      <c r="A27" s="546" t="s">
        <v>58</v>
      </c>
      <c r="B27" s="546"/>
      <c r="H27" s="26"/>
      <c r="I27" s="564"/>
      <c r="J27" s="61"/>
      <c r="K27" s="61"/>
      <c r="L27" s="61"/>
    </row>
    <row r="28" spans="1:27" x14ac:dyDescent="0.2">
      <c r="A28" s="63" t="s">
        <v>65</v>
      </c>
      <c r="B28" s="793" t="s">
        <v>60</v>
      </c>
      <c r="C28" s="793"/>
      <c r="H28" s="549">
        <f>-(SUMIFS('Accounting data'!$G$2:$G$37000,'Accounting data'!$K$2:$K$37000,"3110*"))+SUMIFS('Accounting data'!$G$2:$G$37000,'Accounting data'!$H$2:$H$37000,"9999*",'Accounting data'!$K$2:$K$37000,"3110*")</f>
        <v>3037059</v>
      </c>
      <c r="I28" s="576" t="s">
        <v>65</v>
      </c>
      <c r="J28" s="61"/>
      <c r="K28" s="61"/>
      <c r="L28" s="61"/>
    </row>
    <row r="29" spans="1:27" x14ac:dyDescent="0.2">
      <c r="A29" s="62" t="s">
        <v>67</v>
      </c>
      <c r="B29" s="793" t="s">
        <v>62</v>
      </c>
      <c r="C29" s="793"/>
      <c r="H29" s="549">
        <f>-(SUMIFS('Accounting data'!$G$2:$G$37000,'Accounting data'!$K$2:$K$37000,"3130*"))+SUMIFS('Accounting data'!$G$2:$G$37000,'Accounting data'!$H$2:$H$37000,"9999*",'Accounting data'!$K$2:$K$37000,"3130*")</f>
        <v>0</v>
      </c>
      <c r="I29" s="576" t="s">
        <v>67</v>
      </c>
      <c r="J29" s="61"/>
      <c r="K29" s="61"/>
      <c r="L29" s="61"/>
    </row>
    <row r="30" spans="1:27" x14ac:dyDescent="0.2">
      <c r="A30" s="665" t="s">
        <v>69</v>
      </c>
      <c r="B30" s="793" t="s">
        <v>64</v>
      </c>
      <c r="C30" s="793"/>
      <c r="H30" s="549">
        <f>-(SUMIFS('Accounting data'!$G$2:$G$37000,'Accounting data'!$K$2:$K$37000,"3200*"))+SUMIFS('Accounting data'!$G$2:$G$37000,'Accounting data'!$H$2:$H$37000,"9999*",'Accounting data'!$K$2:$K$37000,"3200*")</f>
        <v>405495</v>
      </c>
      <c r="I30" s="576" t="s">
        <v>69</v>
      </c>
      <c r="J30" s="65"/>
      <c r="K30" s="65"/>
      <c r="L30" s="65"/>
      <c r="M30" s="66"/>
    </row>
    <row r="31" spans="1:27" x14ac:dyDescent="0.2">
      <c r="A31" s="63" t="s">
        <v>71</v>
      </c>
      <c r="B31" s="793" t="s">
        <v>66</v>
      </c>
      <c r="C31" s="793"/>
      <c r="H31" s="549">
        <f>-(SUMIFS('Accounting data'!$G$2:$G$37000,'Accounting data'!$K$2:$K$37000,"3900*"))+SUMIFS('Accounting data'!$G$2:$G$37000,'Accounting data'!$H$2:$H$37000,"9999*",'Accounting data'!$K$2:$K$37000,"3900*")</f>
        <v>0</v>
      </c>
      <c r="I31" s="576" t="s">
        <v>71</v>
      </c>
      <c r="J31" s="61"/>
      <c r="K31" s="61"/>
      <c r="L31" s="61"/>
    </row>
    <row r="32" spans="1:27" ht="15" x14ac:dyDescent="0.25">
      <c r="A32" s="63" t="s">
        <v>73</v>
      </c>
      <c r="B32" s="793" t="s">
        <v>68</v>
      </c>
      <c r="C32" s="793"/>
      <c r="D32" s="814"/>
      <c r="E32" s="815"/>
      <c r="F32" s="815"/>
      <c r="H32" s="549">
        <f>-(SUMIFS('Accounting data'!$G$2:$G$37000,'Accounting data'!$K$2:$K$37000,"Other Revenue from State Sources"))+SUMIFS('Accounting data'!$G$2:$G$37000,'Accounting data'!$H$2:$H$37000,"9999*",'Accounting data'!$K$2:$K$37000,"Other Revenue from State Sources")</f>
        <v>0</v>
      </c>
      <c r="I32" s="576" t="s">
        <v>73</v>
      </c>
      <c r="J32" s="61"/>
      <c r="K32" s="61"/>
      <c r="L32" s="61"/>
    </row>
    <row r="33" spans="1:13" x14ac:dyDescent="0.2">
      <c r="A33" s="63" t="s">
        <v>75</v>
      </c>
      <c r="B33" s="807" t="s">
        <v>1299</v>
      </c>
      <c r="C33" s="807"/>
      <c r="H33" s="548">
        <f>-(SUMIFS('Accounting data'!$G$2:$G$37000,'Accounting data'!$K$2:$K$37000,"3*"))+SUMIFS('Accounting data'!$G$2:$G$37000,'Accounting data'!$H$2:$H$37000,"9999*",'Accounting data'!$K$2:$K$37000,"3*")+H32</f>
        <v>3442554</v>
      </c>
      <c r="I33" s="576" t="s">
        <v>75</v>
      </c>
      <c r="J33" s="61"/>
      <c r="K33" s="61"/>
      <c r="L33" s="61"/>
    </row>
    <row r="34" spans="1:13" x14ac:dyDescent="0.2">
      <c r="A34" s="3" t="s">
        <v>70</v>
      </c>
      <c r="B34" s="546"/>
      <c r="H34" s="26"/>
      <c r="I34" s="564"/>
      <c r="J34" s="61"/>
      <c r="K34" s="61"/>
      <c r="L34" s="61"/>
    </row>
    <row r="35" spans="1:13" x14ac:dyDescent="0.2">
      <c r="A35" s="665" t="s">
        <v>77</v>
      </c>
      <c r="B35" s="793" t="s">
        <v>72</v>
      </c>
      <c r="C35" s="793"/>
      <c r="D35" s="793"/>
      <c r="E35" s="793"/>
      <c r="F35" s="793"/>
      <c r="H35" s="549">
        <f>-(SUMIFS('Accounting data'!$G$2:$G$37000,'Accounting data'!$K$2:$K$37000,"4100*"))+SUMIFS('Accounting data'!$G$2:$G$37000,'Accounting data'!$H$2:$H$37000,"9999*",'Accounting data'!$K$2:$K$37000,"4100*")</f>
        <v>0</v>
      </c>
      <c r="I35" s="576" t="s">
        <v>77</v>
      </c>
      <c r="J35" s="61"/>
      <c r="K35" s="61"/>
      <c r="L35" s="61"/>
      <c r="M35" s="545"/>
    </row>
    <row r="36" spans="1:13" x14ac:dyDescent="0.2">
      <c r="A36" s="665" t="s">
        <v>79</v>
      </c>
      <c r="B36" s="793" t="s">
        <v>74</v>
      </c>
      <c r="C36" s="793"/>
      <c r="D36" s="793"/>
      <c r="E36" s="793"/>
      <c r="F36" s="793"/>
      <c r="H36" s="549">
        <f>-(SUMIFS('Accounting data'!$G$2:$G$37000,'Accounting data'!$K$2:$K$37000,"4200*"))+SUMIFS('Accounting data'!$G$2:$G$37000,'Accounting data'!$H$2:$H$37000,"9999*",'Accounting data'!$K$2:$K$37000,"4200*")</f>
        <v>56308</v>
      </c>
      <c r="I36" s="576" t="s">
        <v>79</v>
      </c>
      <c r="J36" s="65"/>
      <c r="K36" s="65"/>
      <c r="L36" s="61"/>
    </row>
    <row r="37" spans="1:13" x14ac:dyDescent="0.2">
      <c r="A37" s="67" t="s">
        <v>81</v>
      </c>
      <c r="B37" s="793" t="s">
        <v>76</v>
      </c>
      <c r="C37" s="793"/>
      <c r="D37" s="793"/>
      <c r="E37" s="793"/>
      <c r="F37" s="793"/>
      <c r="G37" s="793"/>
      <c r="H37" s="549">
        <f>-(SUMIFS('Accounting data'!$G$2:$G$37000,'Accounting data'!$K$2:$K$37000,"4700*"))+SUMIFS('Accounting data'!$G$2:$G$37000,'Accounting data'!$H$2:$H$37000,"9999*",'Accounting data'!$K$2:$K$37000,"4700*")</f>
        <v>0</v>
      </c>
      <c r="I37" s="576" t="s">
        <v>81</v>
      </c>
      <c r="J37" s="65"/>
      <c r="K37" s="65"/>
      <c r="L37" s="61"/>
    </row>
    <row r="38" spans="1:13" x14ac:dyDescent="0.2">
      <c r="A38" s="67" t="s">
        <v>83</v>
      </c>
      <c r="B38" s="564" t="s">
        <v>78</v>
      </c>
      <c r="H38" s="549">
        <f>-(SUMIFS('Accounting data'!$G$2:$G$37000,'Accounting data'!$K$2:$K$37000,"4800*"))+SUMIFS('Accounting data'!$G$2:$G$37000,'Accounting data'!$H$2:$H$37000,"9999*",'Accounting data'!$K$2:$K$37000,"4800*")</f>
        <v>0</v>
      </c>
      <c r="I38" s="576" t="s">
        <v>83</v>
      </c>
      <c r="J38" s="61"/>
      <c r="K38" s="61"/>
      <c r="L38" s="61"/>
    </row>
    <row r="39" spans="1:13" x14ac:dyDescent="0.2">
      <c r="A39" s="67" t="s">
        <v>84</v>
      </c>
      <c r="B39" s="793" t="s">
        <v>80</v>
      </c>
      <c r="C39" s="793"/>
      <c r="D39" s="793"/>
      <c r="E39" s="793"/>
      <c r="F39" s="793"/>
      <c r="G39" s="793"/>
      <c r="H39" s="549">
        <f>-(SUMIFS('Accounting data'!$G$2:$G$37000,'Accounting data'!$K$2:$K$37000,"4900*"))+SUMIFS('Accounting data'!$G$2:$G$37000,'Accounting data'!$H$2:$H$37000,"9999*",'Accounting data'!$K$2:$K$37000,"4900*")</f>
        <v>0</v>
      </c>
      <c r="I39" s="576" t="s">
        <v>84</v>
      </c>
      <c r="J39" s="61"/>
      <c r="K39" s="61"/>
      <c r="L39" s="61"/>
    </row>
    <row r="40" spans="1:13" ht="15" x14ac:dyDescent="0.25">
      <c r="A40" s="67" t="s">
        <v>137</v>
      </c>
      <c r="B40" s="793" t="s">
        <v>82</v>
      </c>
      <c r="C40" s="793"/>
      <c r="D40" s="814"/>
      <c r="E40" s="815"/>
      <c r="F40" s="815"/>
      <c r="H40" s="549">
        <f>-(SUMIFS('Accounting data'!$G$2:$G$37000,'Accounting data'!$K$2:$K$37000,"Other Revenue from Federal Sources"))+SUMIFS('Accounting data'!$G$2:$G$37000,'Accounting data'!$H$2:$H$37000,"9999*",'Accounting data'!$K$2:$K$37000,"Other Revenue from Federal Sources")</f>
        <v>0</v>
      </c>
      <c r="I40" s="576" t="s">
        <v>137</v>
      </c>
      <c r="J40" s="61"/>
      <c r="K40" s="61"/>
      <c r="L40" s="61"/>
    </row>
    <row r="41" spans="1:13" x14ac:dyDescent="0.2">
      <c r="A41" s="67" t="s">
        <v>138</v>
      </c>
      <c r="B41" s="807" t="s">
        <v>1300</v>
      </c>
      <c r="C41" s="807"/>
      <c r="H41" s="602">
        <f>-(SUMIFS('Accounting data'!$G$2:$G$37000,'Accounting data'!$K$2:$K$37000,"4*"))+SUMIFS('Accounting data'!$G$2:$G$37000,'Accounting data'!$H$2:$H$37000,"9999*",'Accounting data'!$K$2:$K$37000,"4*")+H40</f>
        <v>56308</v>
      </c>
      <c r="I41" s="576" t="s">
        <v>138</v>
      </c>
      <c r="J41" s="61"/>
      <c r="K41" s="61"/>
      <c r="L41" s="61"/>
    </row>
    <row r="42" spans="1:13" x14ac:dyDescent="0.2">
      <c r="A42" s="7"/>
      <c r="B42" s="546"/>
      <c r="H42" s="26"/>
      <c r="I42" s="564"/>
      <c r="J42" s="61"/>
      <c r="K42" s="61"/>
      <c r="L42" s="61"/>
    </row>
    <row r="43" spans="1:13" x14ac:dyDescent="0.2">
      <c r="A43" s="67" t="s">
        <v>140</v>
      </c>
      <c r="B43" s="820" t="s">
        <v>1301</v>
      </c>
      <c r="C43" s="820"/>
      <c r="D43" s="820"/>
      <c r="H43" s="549">
        <f>SUM(H21,H26,H33,H41)</f>
        <v>3742065</v>
      </c>
      <c r="I43" s="576" t="s">
        <v>140</v>
      </c>
      <c r="J43" s="61"/>
      <c r="K43" s="61"/>
      <c r="L43" s="61"/>
    </row>
  </sheetData>
  <sheetProtection formatCells="0" formatColumns="0" formatRows="0"/>
  <mergeCells count="41">
    <mergeCell ref="B36:F36"/>
    <mergeCell ref="B5:D5"/>
    <mergeCell ref="B43:D43"/>
    <mergeCell ref="B37:G37"/>
    <mergeCell ref="B39:G39"/>
    <mergeCell ref="B40:C40"/>
    <mergeCell ref="B41:C41"/>
    <mergeCell ref="D40:F40"/>
    <mergeCell ref="B6:D6"/>
    <mergeCell ref="B11:C11"/>
    <mergeCell ref="B33:C33"/>
    <mergeCell ref="B31:C31"/>
    <mergeCell ref="B35:F35"/>
    <mergeCell ref="D32:F32"/>
    <mergeCell ref="B30:C30"/>
    <mergeCell ref="B21:C21"/>
    <mergeCell ref="M1:N1"/>
    <mergeCell ref="D12:F12"/>
    <mergeCell ref="B7:D7"/>
    <mergeCell ref="D25:F25"/>
    <mergeCell ref="B24:C24"/>
    <mergeCell ref="J7:K9"/>
    <mergeCell ref="J10:K10"/>
    <mergeCell ref="H1:I1"/>
    <mergeCell ref="B8:D8"/>
    <mergeCell ref="B9:C9"/>
    <mergeCell ref="B10:C10"/>
    <mergeCell ref="D20:F20"/>
    <mergeCell ref="A1:B1"/>
    <mergeCell ref="B25:C25"/>
    <mergeCell ref="B12:C12"/>
    <mergeCell ref="D3:F3"/>
    <mergeCell ref="B32:C32"/>
    <mergeCell ref="B13:C13"/>
    <mergeCell ref="B14:C14"/>
    <mergeCell ref="B20:C20"/>
    <mergeCell ref="B29:C29"/>
    <mergeCell ref="B17:C17"/>
    <mergeCell ref="B26:C26"/>
    <mergeCell ref="B28:C28"/>
    <mergeCell ref="B23:C23"/>
  </mergeCells>
  <conditionalFormatting sqref="D20 D25 D32 D40">
    <cfRule type="expression" dxfId="78" priority="1" stopIfTrue="1">
      <formula>AND($D20="",$H20&lt;&gt;0)</formula>
    </cfRule>
  </conditionalFormatting>
  <hyperlinks>
    <hyperlink ref="A30" location="Restricted3200" display="16." xr:uid="{00000000-0004-0000-0200-000000000000}"/>
    <hyperlink ref="A35" location="Unrestricted_Restricted_4100_4300" display="20." xr:uid="{00000000-0004-0000-0200-000001000000}"/>
    <hyperlink ref="A10" location="Food_Service_1600" display="6." xr:uid="{00000000-0004-0000-0200-000002000000}"/>
    <hyperlink ref="A36" location="Unrestricted_Restricted_4200_4500" display="26." xr:uid="{00000000-0004-0000-0200-000003000000}"/>
    <hyperlink ref="D3:E3" location="GeneralPage1" display="Instructions" xr:uid="{3384DA67-5AC0-4DB9-9663-555DC28FA9B1}"/>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48"/>
  <sheetViews>
    <sheetView showGridLines="0" topLeftCell="A7" workbookViewId="0">
      <selection activeCell="K37" sqref="K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46" t="s">
        <v>0</v>
      </c>
      <c r="B1" s="813" t="str">
        <f>'Cover Page'!D1</f>
        <v>ASU Preparatory Academy- Polytechnic MS</v>
      </c>
      <c r="C1" s="813"/>
      <c r="F1" s="59" t="s">
        <v>1</v>
      </c>
      <c r="G1" s="1" t="str">
        <f>'Cover Page'!M1</f>
        <v>Maricopa</v>
      </c>
      <c r="J1" s="59"/>
      <c r="K1" s="59" t="s">
        <v>2</v>
      </c>
      <c r="L1" s="2" t="str">
        <f>'Cover Page'!R1</f>
        <v>078251000</v>
      </c>
    </row>
    <row r="2" spans="1:32" ht="3.75" customHeight="1" x14ac:dyDescent="0.2">
      <c r="L2" s="4"/>
    </row>
    <row r="3" spans="1:32" ht="15.75" customHeight="1" x14ac:dyDescent="0.2">
      <c r="A3" s="68"/>
      <c r="B3" s="690" t="s">
        <v>726</v>
      </c>
      <c r="C3" s="637"/>
      <c r="D3" s="638"/>
      <c r="E3" s="72" t="s">
        <v>85</v>
      </c>
      <c r="F3" s="567" t="s">
        <v>86</v>
      </c>
      <c r="G3" s="72"/>
      <c r="H3" s="73"/>
      <c r="I3" s="824" t="s">
        <v>87</v>
      </c>
      <c r="J3" s="824"/>
      <c r="K3" s="824"/>
      <c r="L3" s="821" t="s">
        <v>88</v>
      </c>
    </row>
    <row r="4" spans="1:32" ht="12" customHeight="1" x14ac:dyDescent="0.2">
      <c r="A4" s="74" t="s">
        <v>89</v>
      </c>
      <c r="C4" s="75"/>
      <c r="D4" s="76" t="s">
        <v>90</v>
      </c>
      <c r="E4" s="77" t="s">
        <v>91</v>
      </c>
      <c r="F4" s="78" t="s">
        <v>92</v>
      </c>
      <c r="G4" s="79" t="s">
        <v>93</v>
      </c>
      <c r="H4" s="76" t="s">
        <v>94</v>
      </c>
      <c r="I4" s="80"/>
      <c r="J4" s="80"/>
      <c r="K4" s="567" t="s">
        <v>95</v>
      </c>
      <c r="L4" s="822"/>
    </row>
    <row r="5" spans="1:32" ht="11.25" customHeight="1" x14ac:dyDescent="0.2">
      <c r="A5" s="81" t="s">
        <v>96</v>
      </c>
      <c r="B5" s="6"/>
      <c r="C5" s="82"/>
      <c r="D5" s="572">
        <v>6100</v>
      </c>
      <c r="E5" s="83">
        <v>6200</v>
      </c>
      <c r="F5" s="83" t="s">
        <v>97</v>
      </c>
      <c r="G5" s="573">
        <v>6600</v>
      </c>
      <c r="H5" s="572">
        <v>6800</v>
      </c>
      <c r="I5" s="566" t="s">
        <v>98</v>
      </c>
      <c r="J5" s="83" t="s">
        <v>23</v>
      </c>
      <c r="K5" s="83" t="s">
        <v>99</v>
      </c>
      <c r="L5" s="823"/>
    </row>
    <row r="6" spans="1:32" ht="12" customHeight="1" x14ac:dyDescent="0.2">
      <c r="A6" s="84" t="s">
        <v>100</v>
      </c>
      <c r="B6" s="69"/>
      <c r="C6" s="70"/>
      <c r="D6" s="85"/>
      <c r="E6" s="85"/>
      <c r="F6" s="85"/>
      <c r="G6" s="85"/>
      <c r="H6" s="85"/>
      <c r="I6" s="85"/>
      <c r="J6" s="85"/>
      <c r="K6" s="85"/>
      <c r="L6" s="826">
        <f>IF(J7=K7,0,IF(K7&gt;0,(J7-K7)/K7,"--"))</f>
        <v>-0.1008</v>
      </c>
      <c r="S6" s="545"/>
    </row>
    <row r="7" spans="1:32" ht="12" customHeight="1" x14ac:dyDescent="0.2">
      <c r="A7" s="86" t="s">
        <v>101</v>
      </c>
      <c r="C7" s="87" t="s">
        <v>24</v>
      </c>
      <c r="D7" s="552">
        <f>SUMIFS('Accounting data'!$G$2:$G$37000,'Accounting data'!$H$2:$H$37000,"1000*",'Accounting data'!$I$2:$I$37000,"1*",'Accounting data'!$J$2:$J$37000,"1*",'Accounting data'!$K$2:$K$37000,"61*")+SUMIFS('Accounting data'!$G$2:$G$37000,'Accounting data'!$H$2:$H$37000,"1500*",'Accounting data'!$I$2:$I$37000,"1*",'Accounting data'!$J$2:$J$37000,"1*",'Accounting data'!$K$2:$K$37000,"61*")</f>
        <v>962451</v>
      </c>
      <c r="E7" s="552">
        <f>SUMIFS('Accounting data'!$G$2:$G$37000,'Accounting data'!$H$2:$H$37000,"1000*",'Accounting data'!$I$2:$I$37000,"1*",'Accounting data'!$J$2:$J$37000,"1*",'Accounting data'!$K$2:$K$37000,"62*")+SUMIFS('Accounting data'!$G$2:$G$37000,'Accounting data'!$H$2:$H$37000,"1500*",'Accounting data'!$I$2:$I$37000,"1*",'Accounting data'!$J$2:$J$37000,"1*",'Accounting data'!$K$2:$K$37000,"62*")</f>
        <v>316650</v>
      </c>
      <c r="F7" s="552">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80398</v>
      </c>
      <c r="G7" s="552">
        <f>SUMIFS('Accounting data'!$G$2:$G$37000,'Accounting data'!$H$2:$H$37000,"1000*",'Accounting data'!$I$2:$I$37000,"1*",'Accounting data'!$J$2:$J$37000,"1*",'Accounting data'!$K$2:$K$37000,"66*")+SUMIFS('Accounting data'!$G$2:$G$37000,'Accounting data'!$H$2:$H$37000,"1500*",'Accounting data'!$I$2:$I$37000,"1*",'Accounting data'!$J$2:$J$37000,"1*",'Accounting data'!$K$2:$K$37000,"66*")</f>
        <v>72122</v>
      </c>
      <c r="H7" s="552">
        <f>SUMIFS('Accounting data'!$G$2:$G$37000,'Accounting data'!$H$2:$H$37000,"1000*",'Accounting data'!$I$2:$I$37000,"1*",'Accounting data'!$J$2:$J$37000,"1*",'Accounting data'!$K$2:$K$37000,"68*")+SUMIFS('Accounting data'!$G$2:$G$37000,'Accounting data'!$H$2:$H$37000,"1500*",'Accounting data'!$I$2:$I$37000,"1*",'Accounting data'!$J$2:$J$37000,"1*",'Accounting data'!$K$2:$K$37000,"68*")</f>
        <v>22464</v>
      </c>
      <c r="I7" s="552">
        <v>1581448</v>
      </c>
      <c r="J7" s="552">
        <f>SUM(D7:H7)</f>
        <v>1454085</v>
      </c>
      <c r="K7" s="552">
        <v>1617174</v>
      </c>
      <c r="L7" s="827"/>
      <c r="M7" s="88" t="s">
        <v>24</v>
      </c>
      <c r="S7" s="545"/>
    </row>
    <row r="8" spans="1:32" ht="12" customHeight="1" x14ac:dyDescent="0.2">
      <c r="A8" s="86" t="s">
        <v>102</v>
      </c>
      <c r="C8" s="75"/>
      <c r="D8" s="85"/>
      <c r="E8" s="85"/>
      <c r="F8" s="85"/>
      <c r="G8" s="89"/>
      <c r="H8" s="85"/>
      <c r="I8" s="85"/>
      <c r="J8" s="85"/>
      <c r="K8" s="85"/>
      <c r="L8" s="828">
        <f>IF(J9=K9,0,IF(K9&gt;0,(J9-K9)/K9,"--"))</f>
        <v>0.16980000000000001</v>
      </c>
      <c r="M8" s="564"/>
      <c r="S8" s="545"/>
    </row>
    <row r="9" spans="1:32" ht="12" customHeight="1" x14ac:dyDescent="0.2">
      <c r="A9" s="86" t="s">
        <v>103</v>
      </c>
      <c r="C9" s="87" t="s">
        <v>26</v>
      </c>
      <c r="D9" s="552">
        <f>SUMIFS('Accounting data'!$G$2:$G$37000,'Accounting data'!$H$2:$H$37000,"1000*",'Accounting data'!$I$2:$I$37000,"1*",'Accounting data'!$J$2:$J$37000,"21*",'Accounting data'!$K$2:$K$37000,"61*")+SUMIFS('Accounting data'!$G$2:$G$37000,'Accounting data'!$H$2:$H$37000,"1500*",'Accounting data'!$I$2:$I$37000,"1*",'Accounting data'!$J$2:$J$37000,"21*",'Accounting data'!$K$2:$K$37000,"61*")</f>
        <v>151053</v>
      </c>
      <c r="E9" s="552">
        <f>SUMIFS('Accounting data'!$G$2:$G$37000,'Accounting data'!$H$2:$H$37000,"1000*",'Accounting data'!$I$2:$I$37000,"1*",'Accounting data'!$J$2:$J$37000,"21*",'Accounting data'!$K$2:$K$37000,"62*")+SUMIFS('Accounting data'!$G$2:$G$37000,'Accounting data'!$H$2:$H$37000,"1500*",'Accounting data'!$I$2:$I$37000,"1*",'Accounting data'!$J$2:$J$37000,"21*",'Accounting data'!$K$2:$K$37000,"62*")</f>
        <v>51589</v>
      </c>
      <c r="F9" s="552">
        <f>SUMIFS('Accounting data'!$G$2:$G$37000,'Accounting data'!$H$2:$H$37000,"1000*",'Accounting data'!$I$2:$I$37000,"1*",'Accounting data'!$J$2:$J$37000,"21*",'Accounting data'!$K$2:$K$37000,"63*")+SUMIFS('Accounting data'!$G$2:$G$37000,'Accounting data'!$H$2:$H$37000,"1500*",'Accounting data'!$I$2:$I$37000,"1*",'Accounting data'!$J$2:$J$37000,"21*",'Accounting data'!$K$2:$K$37000,"63*")</f>
        <v>8381</v>
      </c>
      <c r="G9" s="552">
        <f>SUMIFS('Accounting data'!$G$2:$G$37000,'Accounting data'!$H$2:$H$37000,"1000*",'Accounting data'!$I$2:$I$37000,"1*",'Accounting data'!$J$2:$J$37000,"21*",'Accounting data'!$K$2:$K$37000,"66*")+SUMIFS('Accounting data'!$G$2:$G$37000,'Accounting data'!$H$2:$H$37000,"1500*",'Accounting data'!$I$2:$I$37000,"1*",'Accounting data'!$J$2:$J$37000,"21*",'Accounting data'!$K$2:$K$37000,"66*")</f>
        <v>5899</v>
      </c>
      <c r="H9" s="552">
        <f>SUMIFS('Accounting data'!$G$2:$G$37000,'Accounting data'!$H$2:$H$37000,"1000*",'Accounting data'!$I$2:$I$37000,"1*",'Accounting data'!$J$2:$J$37000,"21*",'Accounting data'!$K$2:$K$37000,"68*")+SUMIFS('Accounting data'!$G$2:$G$37000,'Accounting data'!$H$2:$H$37000,"1500*",'Accounting data'!$I$2:$I$37000,"1*",'Accounting data'!$J$2:$J$37000,"21*",'Accounting data'!$K$2:$K$37000,"68*")</f>
        <v>394</v>
      </c>
      <c r="I9" s="552">
        <v>181725</v>
      </c>
      <c r="J9" s="552">
        <f>SUM(D9:H9)</f>
        <v>217316</v>
      </c>
      <c r="K9" s="552">
        <v>185766</v>
      </c>
      <c r="L9" s="829"/>
      <c r="M9" s="88" t="s">
        <v>26</v>
      </c>
      <c r="N9" s="825" t="str">
        <f>IF('Page 2'!J48=0,"",IF(OR('Page 2'!J9&lt;=0),"The Charter did not report any expenses for student support services on line 2. If the Charter did not have any expense, verify by checking the box in A10 on the Cover Page.",""))</f>
        <v/>
      </c>
      <c r="O9" s="825"/>
      <c r="P9" s="825"/>
      <c r="Q9" s="825"/>
      <c r="R9" s="825"/>
      <c r="S9" s="825"/>
      <c r="T9" s="825"/>
      <c r="U9" s="825"/>
      <c r="V9" s="825"/>
      <c r="W9" s="825"/>
      <c r="X9" s="825"/>
      <c r="Y9" s="825"/>
      <c r="Z9" s="825"/>
      <c r="AA9" s="825"/>
      <c r="AB9" s="825"/>
      <c r="AC9" s="825"/>
      <c r="AD9" s="825"/>
      <c r="AE9" s="825"/>
      <c r="AF9" s="825"/>
    </row>
    <row r="10" spans="1:32" ht="12" customHeight="1" x14ac:dyDescent="0.2">
      <c r="A10" s="86" t="s">
        <v>104</v>
      </c>
      <c r="C10" s="87" t="s">
        <v>28</v>
      </c>
      <c r="D10" s="548">
        <f>SUMIFS('Accounting data'!$G$2:$G$37000,'Accounting data'!$H$2:$H$37000,"1000*",'Accounting data'!$I$2:$I$37000,"1*",'Accounting data'!$J$2:$J$37000,"22*",'Accounting data'!$K$2:$K$37000,"61*")+SUMIFS('Accounting data'!$G$2:$G$37000,'Accounting data'!$H$2:$H$37000,"1500*",'Accounting data'!$I$2:$I$37000,"1*",'Accounting data'!$J$2:$J$37000,"22*",'Accounting data'!$K$2:$K$37000,"61*")</f>
        <v>37570</v>
      </c>
      <c r="E10" s="548">
        <f>SUMIFS('Accounting data'!$G$2:$G$37000,'Accounting data'!$H$2:$H$37000,"1000*",'Accounting data'!$I$2:$I$37000,"1*",'Accounting data'!$J$2:$J$37000,"22*",'Accounting data'!$K$2:$K$37000,"62*")+SUMIFS('Accounting data'!$G$2:$G$37000,'Accounting data'!$H$2:$H$37000,"1500*",'Accounting data'!$I$2:$I$37000,"1*",'Accounting data'!$J$2:$J$37000,"22*",'Accounting data'!$K$2:$K$37000,"62*")</f>
        <v>12288</v>
      </c>
      <c r="F10" s="548">
        <f>SUMIFS('Accounting data'!$G$2:$G$37000,'Accounting data'!$H$2:$H$37000,"1000*",'Accounting data'!$I$2:$I$37000,"1*",'Accounting data'!$J$2:$J$37000,"22*",'Accounting data'!$K$2:$K$37000,"63*")+SUMIFS('Accounting data'!$G$2:$G$37000,'Accounting data'!$H$2:$H$37000,"1500*",'Accounting data'!$I$2:$I$37000,"1*",'Accounting data'!$J$2:$J$37000,"22*",'Accounting data'!$K$2:$K$37000,"63*")</f>
        <v>5572</v>
      </c>
      <c r="G10" s="548">
        <f>SUMIFS('Accounting data'!$G$2:$G$37000,'Accounting data'!$H$2:$H$37000,"1000*",'Accounting data'!$I$2:$I$37000,"1*",'Accounting data'!$J$2:$J$37000,"22*",'Accounting data'!$K$2:$K$37000,"66*")+SUMIFS('Accounting data'!$G$2:$G$37000,'Accounting data'!$H$2:$H$37000,"1500*",'Accounting data'!$I$2:$I$37000,"1*",'Accounting data'!$J$2:$J$37000,"22*",'Accounting data'!$K$2:$K$37000,"66*")</f>
        <v>1795</v>
      </c>
      <c r="H10" s="548">
        <f>SUMIFS('Accounting data'!$G$2:$G$37000,'Accounting data'!$H$2:$H$37000,"1000*",'Accounting data'!$I$2:$I$37000,"1*",'Accounting data'!$J$2:$J$37000,"22*",'Accounting data'!$K$2:$K$37000,"68*")+SUMIFS('Accounting data'!$G$2:$G$37000,'Accounting data'!$H$2:$H$37000,"1500*",'Accounting data'!$I$2:$I$37000,"1*",'Accounting data'!$J$2:$J$37000,"22*",'Accounting data'!$K$2:$K$37000,"68*")</f>
        <v>21</v>
      </c>
      <c r="I10" s="547">
        <v>22252</v>
      </c>
      <c r="J10" s="549">
        <f t="shared" ref="J10:J22" si="0">SUM(D10:H10)</f>
        <v>57246</v>
      </c>
      <c r="K10" s="547">
        <v>39427</v>
      </c>
      <c r="L10" s="550">
        <f t="shared" ref="L10:L20" si="1">IF(J10=K10,0,IF(K10&gt;0,(J10-K10)/K10,"--"))</f>
        <v>0.45190000000000002</v>
      </c>
      <c r="M10" s="88" t="s">
        <v>28</v>
      </c>
      <c r="N10" s="825" t="str">
        <f>IF('Page 2'!J48=0,"",IF(OR('Page 2'!J10&lt;=0),"The Charter did not report any expenses for instructional support services on line 3. If the Charter did not have any expense, verify by checking the box in A12 on the Cover Page.",""))</f>
        <v/>
      </c>
      <c r="O10" s="825"/>
      <c r="P10" s="825"/>
      <c r="Q10" s="825"/>
      <c r="R10" s="825"/>
      <c r="S10" s="825"/>
      <c r="T10" s="825"/>
      <c r="U10" s="825"/>
      <c r="V10" s="825"/>
      <c r="W10" s="825"/>
      <c r="X10" s="825"/>
      <c r="Y10" s="825"/>
      <c r="Z10" s="825"/>
      <c r="AA10" s="825"/>
      <c r="AB10" s="825"/>
      <c r="AC10" s="825"/>
      <c r="AD10" s="825"/>
      <c r="AE10" s="825"/>
      <c r="AF10" s="825"/>
    </row>
    <row r="11" spans="1:32" ht="12" customHeight="1" x14ac:dyDescent="0.2">
      <c r="A11" s="86" t="s">
        <v>105</v>
      </c>
      <c r="C11" s="87" t="s">
        <v>31</v>
      </c>
      <c r="D11" s="548">
        <f>SUMIFS('Accounting data'!$G$2:$G$37000,'Accounting data'!$H$2:$H$37000,"1000*",'Accounting data'!$I$2:$I$37000,"1*",'Accounting data'!$J$2:$J$37000,"23*",'Accounting data'!$K$2:$K$37000,"61*")+SUMIFS('Accounting data'!$G$2:$G$37000,'Accounting data'!$H$2:$H$37000,"1500*",'Accounting data'!$I$2:$I$37000,"1*",'Accounting data'!$J$2:$J$37000,"23*",'Accounting data'!$K$2:$K$37000,"61*")</f>
        <v>21842</v>
      </c>
      <c r="E11" s="548">
        <f>SUMIFS('Accounting data'!$G$2:$G$37000,'Accounting data'!$H$2:$H$37000,"1000*",'Accounting data'!$I$2:$I$37000,"1*",'Accounting data'!$J$2:$J$37000,"23*",'Accounting data'!$K$2:$K$37000,"62*")+SUMIFS('Accounting data'!$G$2:$G$37000,'Accounting data'!$H$2:$H$37000,"1500*",'Accounting data'!$I$2:$I$37000,"1*",'Accounting data'!$J$2:$J$37000,"23*",'Accounting data'!$K$2:$K$37000,"62*")</f>
        <v>5342</v>
      </c>
      <c r="F11" s="548">
        <f>SUMIFS('Accounting data'!$G$2:$G$37000,'Accounting data'!$H$2:$H$37000,"1000*",'Accounting data'!$I$2:$I$37000,"1*",'Accounting data'!$J$2:$J$37000,"23*",'Accounting data'!$K$2:$K$37000,"63*")+SUMIFS('Accounting data'!$G$2:$G$37000,'Accounting data'!$H$2:$H$37000,"1500*",'Accounting data'!$I$2:$I$37000,"1*",'Accounting data'!$J$2:$J$37000,"23*",'Accounting data'!$K$2:$K$37000,"63*")</f>
        <v>3763</v>
      </c>
      <c r="G11" s="548">
        <f>SUMIFS('Accounting data'!$G$2:$G$37000,'Accounting data'!$H$2:$H$37000,"1000*",'Accounting data'!$I$2:$I$37000,"1*",'Accounting data'!$J$2:$J$37000,"23*",'Accounting data'!$K$2:$K$37000,"66*")+SUMIFS('Accounting data'!$G$2:$G$37000,'Accounting data'!$H$2:$H$37000,"1500*",'Accounting data'!$I$2:$I$37000,"1*",'Accounting data'!$J$2:$J$37000,"23*",'Accounting data'!$K$2:$K$37000,"66*")</f>
        <v>224</v>
      </c>
      <c r="H11" s="548">
        <f>SUMIFS('Accounting data'!$G$2:$G$37000,'Accounting data'!$H$2:$H$37000,"1000*",'Accounting data'!$I$2:$I$37000,"1*",'Accounting data'!$J$2:$J$37000,"23*",'Accounting data'!$K$2:$K$37000,"68*")+SUMIFS('Accounting data'!$G$2:$G$37000,'Accounting data'!$H$2:$H$37000,"1500*",'Accounting data'!$I$2:$I$37000,"1*",'Accounting data'!$J$2:$J$37000,"23*",'Accounting data'!$K$2:$K$37000,"68*")</f>
        <v>3741</v>
      </c>
      <c r="I11" s="547">
        <v>26645</v>
      </c>
      <c r="J11" s="549">
        <f t="shared" si="0"/>
        <v>34912</v>
      </c>
      <c r="K11" s="547">
        <v>31095</v>
      </c>
      <c r="L11" s="550">
        <f t="shared" si="1"/>
        <v>0.12280000000000001</v>
      </c>
      <c r="M11" s="88" t="s">
        <v>31</v>
      </c>
      <c r="N11" s="8"/>
      <c r="O11" s="8"/>
      <c r="P11" s="8"/>
      <c r="Q11" s="8"/>
      <c r="R11" s="8"/>
      <c r="S11" s="8"/>
      <c r="T11" s="8"/>
      <c r="U11" s="8"/>
    </row>
    <row r="12" spans="1:32" ht="12" customHeight="1" x14ac:dyDescent="0.2">
      <c r="A12" s="86" t="s">
        <v>106</v>
      </c>
      <c r="C12" s="87" t="s">
        <v>33</v>
      </c>
      <c r="D12" s="548">
        <f>SUMIFS('Accounting data'!$G$2:$G$37000,'Accounting data'!$H$2:$H$37000,"1000*",'Accounting data'!$I$2:$I$37000,"1*",'Accounting data'!$J$2:$J$37000,"24*",'Accounting data'!$K$2:$K$37000,"61*")+SUMIFS('Accounting data'!$G$2:$G$37000,'Accounting data'!$H$2:$H$37000,"1500*",'Accounting data'!$I$2:$I$37000,"1*",'Accounting data'!$J$2:$J$37000,"24*",'Accounting data'!$K$2:$K$37000,"61*")</f>
        <v>57217</v>
      </c>
      <c r="E12" s="548">
        <f>SUMIFS('Accounting data'!$G$2:$G$37000,'Accounting data'!$H$2:$H$37000,"1000*",'Accounting data'!$I$2:$I$37000,"1*",'Accounting data'!$J$2:$J$37000,"24*",'Accounting data'!$K$2:$K$37000,"62*")+SUMIFS('Accounting data'!$G$2:$G$37000,'Accounting data'!$H$2:$H$37000,"1500*",'Accounting data'!$I$2:$I$37000,"1*",'Accounting data'!$J$2:$J$37000,"24*",'Accounting data'!$K$2:$K$37000,"62*")</f>
        <v>27194</v>
      </c>
      <c r="F12" s="548">
        <f>SUMIFS('Accounting data'!$G$2:$G$37000,'Accounting data'!$H$2:$H$37000,"1000*",'Accounting data'!$I$2:$I$37000,"1*",'Accounting data'!$J$2:$J$37000,"24*",'Accounting data'!$K$2:$K$37000,"63*")+SUMIFS('Accounting data'!$G$2:$G$37000,'Accounting data'!$H$2:$H$37000,"1500*",'Accounting data'!$I$2:$I$37000,"1*",'Accounting data'!$J$2:$J$37000,"24*",'Accounting data'!$K$2:$K$37000,"63*")</f>
        <v>748</v>
      </c>
      <c r="G12" s="548">
        <f>SUMIFS('Accounting data'!$G$2:$G$37000,'Accounting data'!$H$2:$H$37000,"1000*",'Accounting data'!$I$2:$I$37000,"1*",'Accounting data'!$J$2:$J$37000,"24*",'Accounting data'!$K$2:$K$37000,"66*")+SUMIFS('Accounting data'!$G$2:$G$37000,'Accounting data'!$H$2:$H$37000,"1500*",'Accounting data'!$I$2:$I$37000,"1*",'Accounting data'!$J$2:$J$37000,"24*",'Accounting data'!$K$2:$K$37000,"66*")</f>
        <v>2734</v>
      </c>
      <c r="H12" s="548">
        <f>SUMIFS('Accounting data'!$G$2:$G$37000,'Accounting data'!$H$2:$H$37000,"1000*",'Accounting data'!$I$2:$I$37000,"1*",'Accounting data'!$J$2:$J$37000,"24*",'Accounting data'!$K$2:$K$37000,"68*")+SUMIFS('Accounting data'!$G$2:$G$37000,'Accounting data'!$H$2:$H$37000,"1500*",'Accounting data'!$I$2:$I$37000,"1*",'Accounting data'!$J$2:$J$37000,"24*",'Accounting data'!$K$2:$K$37000,"68*")</f>
        <v>2256</v>
      </c>
      <c r="I12" s="547">
        <v>74253</v>
      </c>
      <c r="J12" s="549">
        <f t="shared" si="0"/>
        <v>90149</v>
      </c>
      <c r="K12" s="547">
        <v>108262</v>
      </c>
      <c r="L12" s="550">
        <f t="shared" si="1"/>
        <v>-0.1673</v>
      </c>
      <c r="M12" s="88" t="s">
        <v>33</v>
      </c>
    </row>
    <row r="13" spans="1:32" ht="12" customHeight="1" x14ac:dyDescent="0.2">
      <c r="A13" s="86" t="s">
        <v>107</v>
      </c>
      <c r="C13" s="87" t="s">
        <v>35</v>
      </c>
      <c r="D13" s="548">
        <f>SUMIFS('Accounting data'!$G$2:$G$37000,'Accounting data'!$H$2:$H$37000,"1000*",'Accounting data'!$I$2:$I$37000,"1*",'Accounting data'!$J$2:$J$37000,"25*",'Accounting data'!$K$2:$K$37000,"61*")+SUMIFS('Accounting data'!$G$2:$G$37000,'Accounting data'!$H$2:$H$37000,"1500*",'Accounting data'!$I$2:$I$37000,"1*",'Accounting data'!$J$2:$J$37000,"25*",'Accounting data'!$K$2:$K$37000,"61*")</f>
        <v>261572</v>
      </c>
      <c r="E13" s="548">
        <f>SUMIFS('Accounting data'!$G$2:$G$37000,'Accounting data'!$H$2:$H$37000,"1000*",'Accounting data'!$I$2:$I$37000,"1*",'Accounting data'!$J$2:$J$37000,"25*",'Accounting data'!$K$2:$K$37000,"62*")+SUMIFS('Accounting data'!$G$2:$G$37000,'Accounting data'!$H$2:$H$37000,"1500*",'Accounting data'!$I$2:$I$37000,"1*",'Accounting data'!$J$2:$J$37000,"25*",'Accounting data'!$K$2:$K$37000,"62*")</f>
        <v>95035</v>
      </c>
      <c r="F13" s="548">
        <f>SUMIFS('Accounting data'!$G$2:$G$37000,'Accounting data'!$H$2:$H$37000,"1000*",'Accounting data'!$I$2:$I$37000,"1*",'Accounting data'!$J$2:$J$37000,"25*",'Accounting data'!$K$2:$K$37000,"63*")+SUMIFS('Accounting data'!$G$2:$G$37000,'Accounting data'!$H$2:$H$37000,"1500*",'Accounting data'!$I$2:$I$37000,"1*",'Accounting data'!$J$2:$J$37000,"25*",'Accounting data'!$K$2:$K$37000,"63*")</f>
        <v>171088</v>
      </c>
      <c r="G13" s="548">
        <f>SUMIFS('Accounting data'!$G$2:$G$37000,'Accounting data'!$H$2:$H$37000,"1000*",'Accounting data'!$I$2:$I$37000,"1*",'Accounting data'!$J$2:$J$37000,"25*",'Accounting data'!$K$2:$K$37000,"66*")+SUMIFS('Accounting data'!$G$2:$G$37000,'Accounting data'!$H$2:$H$37000,"1500*",'Accounting data'!$I$2:$I$37000,"1*",'Accounting data'!$J$2:$J$37000,"25*",'Accounting data'!$K$2:$K$37000,"66*")</f>
        <v>10076</v>
      </c>
      <c r="H13" s="548">
        <f>SUMIFS('Accounting data'!$G$2:$G$37000,'Accounting data'!$H$2:$H$37000,"1000*",'Accounting data'!$I$2:$I$37000,"1*",'Accounting data'!$J$2:$J$37000,"25*",'Accounting data'!$K$2:$K$37000,"68*")+SUMIFS('Accounting data'!$G$2:$G$37000,'Accounting data'!$H$2:$H$37000,"1500*",'Accounting data'!$I$2:$I$37000,"1*",'Accounting data'!$J$2:$J$37000,"25*",'Accounting data'!$K$2:$K$37000,"68*")</f>
        <v>69946</v>
      </c>
      <c r="I13" s="547">
        <v>683728</v>
      </c>
      <c r="J13" s="549">
        <f t="shared" si="0"/>
        <v>607717</v>
      </c>
      <c r="K13" s="547">
        <v>975869</v>
      </c>
      <c r="L13" s="550">
        <f t="shared" si="1"/>
        <v>-0.37730000000000002</v>
      </c>
      <c r="M13" s="88" t="s">
        <v>35</v>
      </c>
    </row>
    <row r="14" spans="1:32" ht="12" customHeight="1" x14ac:dyDescent="0.2">
      <c r="A14" s="86" t="s">
        <v>108</v>
      </c>
      <c r="C14" s="87" t="s">
        <v>36</v>
      </c>
      <c r="D14" s="548">
        <f>SUMIFS('Accounting data'!$G$2:$G$37000,'Accounting data'!$H$2:$H$37000,"1000*",'Accounting data'!$I$2:$I$37000,"1*",'Accounting data'!$J$2:$J$37000,"26*",'Accounting data'!$K$2:$K$37000,"61*")+SUMIFS('Accounting data'!$G$2:$G$37000,'Accounting data'!$H$2:$H$37000,"1500*",'Accounting data'!$I$2:$I$37000,"1*",'Accounting data'!$J$2:$J$37000,"26*",'Accounting data'!$K$2:$K$37000,"61*")</f>
        <v>22749</v>
      </c>
      <c r="E14" s="548">
        <f>SUMIFS('Accounting data'!$G$2:$G$37000,'Accounting data'!$H$2:$H$37000,"1000*",'Accounting data'!$I$2:$I$37000,"1*",'Accounting data'!$J$2:$J$37000,"26*",'Accounting data'!$K$2:$K$37000,"62*")+SUMIFS('Accounting data'!$G$2:$G$37000,'Accounting data'!$H$2:$H$37000,"1500*",'Accounting data'!$I$2:$I$37000,"1*",'Accounting data'!$J$2:$J$37000,"26*",'Accounting data'!$K$2:$K$37000,"62*")</f>
        <v>7463</v>
      </c>
      <c r="F14" s="548">
        <f>SUMIFS('Accounting data'!$G$2:$G$37000,'Accounting data'!$H$2:$H$37000,"1000*",'Accounting data'!$I$2:$I$37000,"1*",'Accounting data'!$J$2:$J$37000,"26*",'Accounting data'!$K$2:$K$37000,"63*")+SUMIFS('Accounting data'!$G$2:$G$37000,'Accounting data'!$H$2:$H$37000,"1500*",'Accounting data'!$I$2:$I$37000,"1*",'Accounting data'!$J$2:$J$37000,"26*",'Accounting data'!$K$2:$K$37000,"63*")</f>
        <v>1282966</v>
      </c>
      <c r="G14" s="548">
        <f>SUMIFS('Accounting data'!$G$2:$G$37000,'Accounting data'!$H$2:$H$37000,"1000*",'Accounting data'!$I$2:$I$37000,"1*",'Accounting data'!$J$2:$J$37000,"26*",'Accounting data'!$K$2:$K$37000,"66*")+SUMIFS('Accounting data'!$G$2:$G$37000,'Accounting data'!$H$2:$H$37000,"1500*",'Accounting data'!$I$2:$I$37000,"1*",'Accounting data'!$J$2:$J$37000,"26*",'Accounting data'!$K$2:$K$37000,"66*")</f>
        <v>60367</v>
      </c>
      <c r="H14" s="548">
        <f>SUMIFS('Accounting data'!$G$2:$G$37000,'Accounting data'!$H$2:$H$37000,"1000*",'Accounting data'!$I$2:$I$37000,"1*",'Accounting data'!$J$2:$J$37000,"26*",'Accounting data'!$K$2:$K$37000,"68*")+SUMIFS('Accounting data'!$G$2:$G$37000,'Accounting data'!$H$2:$H$37000,"1500*",'Accounting data'!$I$2:$I$37000,"1*",'Accounting data'!$J$2:$J$37000,"26*",'Accounting data'!$K$2:$K$37000,"68*")</f>
        <v>3082</v>
      </c>
      <c r="I14" s="547">
        <v>261148</v>
      </c>
      <c r="J14" s="549">
        <f t="shared" si="0"/>
        <v>1376627</v>
      </c>
      <c r="K14" s="547">
        <v>1376192</v>
      </c>
      <c r="L14" s="550">
        <f t="shared" si="1"/>
        <v>2.9999999999999997E-4</v>
      </c>
      <c r="M14" s="88" t="s">
        <v>36</v>
      </c>
    </row>
    <row r="15" spans="1:32" ht="12" customHeight="1" x14ac:dyDescent="0.2">
      <c r="A15" s="86" t="s">
        <v>109</v>
      </c>
      <c r="C15" s="87" t="s">
        <v>38</v>
      </c>
      <c r="D15" s="548">
        <f>SUMIFS('Accounting data'!$G$2:$G$37000,'Accounting data'!$H$2:$H$37000,"1000*",'Accounting data'!$I$2:$I$37000,"1*",'Accounting data'!$J$2:$J$37000,"29*",'Accounting data'!$K$2:$K$37000,"61*")+SUMIFS('Accounting data'!$G$2:$G$37000,'Accounting data'!$H$2:$H$37000,"1500*",'Accounting data'!$I$2:$I$37000,"1*",'Accounting data'!$J$2:$J$37000,"29*",'Accounting data'!$K$2:$K$37000,"61*")</f>
        <v>0</v>
      </c>
      <c r="E15" s="548">
        <f>SUMIFS('Accounting data'!$G$2:$G$37000,'Accounting data'!$H$2:$H$37000,"1000*",'Accounting data'!$I$2:$I$37000,"1*",'Accounting data'!$J$2:$J$37000,"29*",'Accounting data'!$K$2:$K$37000,"62*")+SUMIFS('Accounting data'!$G$2:$G$37000,'Accounting data'!$H$2:$H$37000,"1500*",'Accounting data'!$I$2:$I$37000,"1*",'Accounting data'!$J$2:$J$37000,"29*",'Accounting data'!$K$2:$K$37000,"62*")</f>
        <v>0</v>
      </c>
      <c r="F15" s="548">
        <f>SUMIFS('Accounting data'!$G$2:$G$37000,'Accounting data'!$H$2:$H$37000,"1000*",'Accounting data'!$I$2:$I$37000,"1*",'Accounting data'!$J$2:$J$37000,"29*",'Accounting data'!$K$2:$K$37000,"63*")+SUMIFS('Accounting data'!$G$2:$G$37000,'Accounting data'!$H$2:$H$37000,"1500*",'Accounting data'!$I$2:$I$37000,"1*",'Accounting data'!$J$2:$J$37000,"29*",'Accounting data'!$K$2:$K$37000,"63*")</f>
        <v>0</v>
      </c>
      <c r="G15" s="548">
        <f>SUMIFS('Accounting data'!$G$2:$G$37000,'Accounting data'!$H$2:$H$37000,"1000*",'Accounting data'!$I$2:$I$37000,"1*",'Accounting data'!$J$2:$J$37000,"29*",'Accounting data'!$K$2:$K$37000,"66*")+SUMIFS('Accounting data'!$G$2:$G$37000,'Accounting data'!$H$2:$H$37000,"1500*",'Accounting data'!$I$2:$I$37000,"1*",'Accounting data'!$J$2:$J$37000,"29*",'Accounting data'!$K$2:$K$37000,"66*")</f>
        <v>0</v>
      </c>
      <c r="H15" s="548">
        <f>SUMIFS('Accounting data'!$G$2:$G$37000,'Accounting data'!$H$2:$H$37000,"1000*",'Accounting data'!$I$2:$I$37000,"1*",'Accounting data'!$J$2:$J$37000,"29*",'Accounting data'!$K$2:$K$37000,"68*")+SUMIFS('Accounting data'!$G$2:$G$37000,'Accounting data'!$H$2:$H$37000,"1500*",'Accounting data'!$I$2:$I$37000,"1*",'Accounting data'!$J$2:$J$37000,"29*",'Accounting data'!$K$2:$K$37000,"68*")</f>
        <v>0</v>
      </c>
      <c r="I15" s="547">
        <v>10</v>
      </c>
      <c r="J15" s="549">
        <f t="shared" si="0"/>
        <v>0</v>
      </c>
      <c r="K15" s="547">
        <v>0</v>
      </c>
      <c r="L15" s="550">
        <f t="shared" si="1"/>
        <v>0</v>
      </c>
      <c r="M15" s="88" t="s">
        <v>38</v>
      </c>
    </row>
    <row r="16" spans="1:32" ht="12" customHeight="1" x14ac:dyDescent="0.2">
      <c r="A16" s="86" t="s">
        <v>110</v>
      </c>
      <c r="C16" s="87" t="s">
        <v>40</v>
      </c>
      <c r="D16" s="548">
        <f>SUMIFS('Accounting data'!$G$2:$G$37000,'Accounting data'!$H$2:$H$37000,"1000*",'Accounting data'!$I$2:$I$37000,"1*",'Accounting data'!$J$2:$J$37000,"3*",'Accounting data'!$K$2:$K$37000,"61*")+SUMIFS('Accounting data'!$G$2:$G$37000,'Accounting data'!$H$2:$H$37000,"1500*",'Accounting data'!$I$2:$I$37000,"1*",'Accounting data'!$J$2:$J$37000,"3*",'Accounting data'!$K$2:$K$37000,"61*")</f>
        <v>37</v>
      </c>
      <c r="E16" s="548">
        <f>SUMIFS('Accounting data'!$G$2:$G$37000,'Accounting data'!$H$2:$H$37000,"1000*",'Accounting data'!$I$2:$I$37000,"1*",'Accounting data'!$J$2:$J$37000,"3*",'Accounting data'!$K$2:$K$37000,"62*")+SUMIFS('Accounting data'!$G$2:$G$37000,'Accounting data'!$H$2:$H$37000,"1500*",'Accounting data'!$I$2:$I$37000,"1*",'Accounting data'!$J$2:$J$37000,"3*",'Accounting data'!$K$2:$K$37000,"62*")</f>
        <v>7</v>
      </c>
      <c r="F16" s="548">
        <f>SUMIFS('Accounting data'!$G$2:$G$37000,'Accounting data'!$H$2:$H$37000,"1000*",'Accounting data'!$I$2:$I$37000,"1*",'Accounting data'!$J$2:$J$37000,"3*",'Accounting data'!$K$2:$K$37000,"63*")+SUMIFS('Accounting data'!$G$2:$G$37000,'Accounting data'!$H$2:$H$37000,"1500*",'Accounting data'!$I$2:$I$37000,"1*",'Accounting data'!$J$2:$J$37000,"3*",'Accounting data'!$K$2:$K$37000,"63*")</f>
        <v>0</v>
      </c>
      <c r="G16" s="548">
        <f>SUMIFS('Accounting data'!$G$2:$G$37000,'Accounting data'!$H$2:$H$37000,"1000*",'Accounting data'!$I$2:$I$37000,"1*",'Accounting data'!$J$2:$J$37000,"3*",'Accounting data'!$K$2:$K$37000,"66*")+SUMIFS('Accounting data'!$G$2:$G$37000,'Accounting data'!$H$2:$H$37000,"1500*",'Accounting data'!$I$2:$I$37000,"1*",'Accounting data'!$J$2:$J$37000,"3*",'Accounting data'!$K$2:$K$37000,"66*")</f>
        <v>0</v>
      </c>
      <c r="H16" s="548">
        <f>SUMIFS('Accounting data'!$G$2:$G$37000,'Accounting data'!$H$2:$H$37000,"1000*",'Accounting data'!$I$2:$I$37000,"1*",'Accounting data'!$J$2:$J$37000,"3*",'Accounting data'!$K$2:$K$37000,"68*")+SUMIFS('Accounting data'!$G$2:$G$37000,'Accounting data'!$H$2:$H$37000,"1500*",'Accounting data'!$I$2:$I$37000,"1*",'Accounting data'!$J$2:$J$37000,"3*",'Accounting data'!$K$2:$K$37000,"68*")</f>
        <v>9</v>
      </c>
      <c r="I16" s="547">
        <v>3518</v>
      </c>
      <c r="J16" s="549">
        <f t="shared" si="0"/>
        <v>53</v>
      </c>
      <c r="K16" s="547">
        <v>335</v>
      </c>
      <c r="L16" s="550">
        <f t="shared" si="1"/>
        <v>-0.84179999999999999</v>
      </c>
      <c r="M16" s="88" t="s">
        <v>40</v>
      </c>
    </row>
    <row r="17" spans="1:25" ht="12" customHeight="1" x14ac:dyDescent="0.2">
      <c r="A17" s="86" t="s">
        <v>111</v>
      </c>
      <c r="C17" s="87" t="s">
        <v>42</v>
      </c>
      <c r="D17" s="548">
        <f>SUMIFS('Accounting data'!$G$2:$G$37000,'Accounting data'!$H$2:$H$37000,"1000*",'Accounting data'!$I$2:$I$37000,"1*",'Accounting data'!$J$2:$J$37000,"4*",'Accounting data'!$K$2:$K$37000,"61*")+SUMIFS('Accounting data'!$G$2:$G$37000,'Accounting data'!$H$2:$H$37000,"1500*",'Accounting data'!$I$2:$I$37000,"1*",'Accounting data'!$J$2:$J$37000,"4*",'Accounting data'!$K$2:$K$37000,"61*")</f>
        <v>0</v>
      </c>
      <c r="E17" s="548">
        <f>SUMIFS('Accounting data'!$G$2:$G$37000,'Accounting data'!$H$2:$H$37000,"1000*",'Accounting data'!$I$2:$I$37000,"1*",'Accounting data'!$J$2:$J$37000,"4*",'Accounting data'!$K$2:$K$37000,"62*")+SUMIFS('Accounting data'!$G$2:$G$37000,'Accounting data'!$H$2:$H$37000,"1500*",'Accounting data'!$I$2:$I$37000,"1*",'Accounting data'!$J$2:$J$37000,"4*",'Accounting data'!$K$2:$K$37000,"62*")</f>
        <v>0</v>
      </c>
      <c r="F17" s="548">
        <f>SUMIFS('Accounting data'!$G$2:$G$37000,'Accounting data'!$H$2:$H$37000,"1000*",'Accounting data'!$I$2:$I$37000,"1*",'Accounting data'!$J$2:$J$37000,"4*",'Accounting data'!$K$2:$K$37000,"63*")+SUMIFS('Accounting data'!$G$2:$G$37000,'Accounting data'!$H$2:$H$37000,"1500*",'Accounting data'!$I$2:$I$37000,"1*",'Accounting data'!$J$2:$J$37000,"4*",'Accounting data'!$K$2:$K$37000,"63*")</f>
        <v>0</v>
      </c>
      <c r="G17" s="548">
        <f>SUMIFS('Accounting data'!$G$2:$G$37000,'Accounting data'!$H$2:$H$37000,"1000*",'Accounting data'!$I$2:$I$37000,"1*",'Accounting data'!$J$2:$J$37000,"4*",'Accounting data'!$K$2:$K$37000,"66*")+SUMIFS('Accounting data'!$G$2:$G$37000,'Accounting data'!$H$2:$H$37000,"1500*",'Accounting data'!$I$2:$I$37000,"1*",'Accounting data'!$J$2:$J$37000,"4*",'Accounting data'!$K$2:$K$37000,"66*")</f>
        <v>0</v>
      </c>
      <c r="H17" s="548">
        <f>SUMIFS('Accounting data'!$G$2:$G$37000,'Accounting data'!$H$2:$H$37000,"1000*",'Accounting data'!$I$2:$I$37000,"1*",'Accounting data'!$J$2:$J$37000,"4*",'Accounting data'!$K$2:$K$37000,"68*")+SUMIFS('Accounting data'!$G$2:$G$37000,'Accounting data'!$H$2:$H$37000,"1500*",'Accounting data'!$I$2:$I$37000,"1*",'Accounting data'!$J$2:$J$37000,"4*",'Accounting data'!$K$2:$K$37000,"68*")</f>
        <v>0</v>
      </c>
      <c r="I17" s="547">
        <v>0</v>
      </c>
      <c r="J17" s="549">
        <f t="shared" si="0"/>
        <v>0</v>
      </c>
      <c r="K17" s="547">
        <v>0</v>
      </c>
      <c r="L17" s="550">
        <f t="shared" si="1"/>
        <v>0</v>
      </c>
      <c r="M17" s="88" t="s">
        <v>42</v>
      </c>
    </row>
    <row r="18" spans="1:25" ht="12" customHeight="1" x14ac:dyDescent="0.2">
      <c r="A18" s="86" t="s">
        <v>112</v>
      </c>
      <c r="C18" s="87" t="s">
        <v>44</v>
      </c>
      <c r="D18" s="548">
        <f>SUMIFS('Accounting data'!$G$2:$G$37000,'Accounting data'!$H$2:$H$37000,"1000*",'Accounting data'!$I$2:$I$37000,"1*",'Accounting data'!$J$2:$J$37000,"5*",'Accounting data'!$K$2:$K$37000,"61*")+SUMIFS('Accounting data'!$G$2:$G$37000,'Accounting data'!$H$2:$H$37000,"1500*",'Accounting data'!$I$2:$I$37000,"1*",'Accounting data'!$J$2:$J$37000,"5*",'Accounting data'!$K$2:$K$37000,"61*")</f>
        <v>0</v>
      </c>
      <c r="E18" s="548">
        <f>SUMIFS('Accounting data'!$G$2:$G$37000,'Accounting data'!$H$2:$H$37000,"1000*",'Accounting data'!$I$2:$I$37000,"1*",'Accounting data'!$J$2:$J$37000,"5*",'Accounting data'!$K$2:$K$37000,"62*")+SUMIFS('Accounting data'!$G$2:$G$37000,'Accounting data'!$H$2:$H$37000,"1500*",'Accounting data'!$I$2:$I$37000,"1*",'Accounting data'!$J$2:$J$37000,"5*",'Accounting data'!$K$2:$K$37000,"62*")</f>
        <v>0</v>
      </c>
      <c r="F18" s="548">
        <f>SUMIFS('Accounting data'!$G$2:$G$37000,'Accounting data'!$H$2:$H$37000,"1000*",'Accounting data'!$I$2:$I$37000,"1*",'Accounting data'!$J$2:$J$37000,"5*",'Accounting data'!$K$2:$K$37000,"63*")+SUMIFS('Accounting data'!$G$2:$G$37000,'Accounting data'!$H$2:$H$37000,"1500*",'Accounting data'!$I$2:$I$37000,"1*",'Accounting data'!$J$2:$J$37000,"5*",'Accounting data'!$K$2:$K$37000,"63*")</f>
        <v>0</v>
      </c>
      <c r="G18" s="548">
        <f>SUMIFS('Accounting data'!$G$2:$G$37000,'Accounting data'!$H$2:$H$37000,"1000*",'Accounting data'!$I$2:$I$37000,"1*",'Accounting data'!$J$2:$J$37000,"5*",'Accounting data'!$K$2:$K$37000,"66*")+SUMIFS('Accounting data'!$G$2:$G$37000,'Accounting data'!$H$2:$H$37000,"1500*",'Accounting data'!$I$2:$I$37000,"1*",'Accounting data'!$J$2:$J$37000,"5*",'Accounting data'!$K$2:$K$37000,"66*")</f>
        <v>0</v>
      </c>
      <c r="H18" s="548">
        <f>SUMIFS('Accounting data'!$G$2:$G$37000,'Accounting data'!$H$2:$H$37000,"1000*",'Accounting data'!$I$2:$I$37000,"1*",'Accounting data'!$J$2:$J$37000,"5*",'Accounting data'!$K$2:$K$37000,"68*")+SUMIFS('Accounting data'!$G$2:$G$37000,'Accounting data'!$H$2:$H$37000,"1500*",'Accounting data'!$I$2:$I$37000,"1*",'Accounting data'!$J$2:$J$37000,"5*",'Accounting data'!$K$2:$K$37000,"68*")</f>
        <v>0</v>
      </c>
      <c r="I18" s="547">
        <v>0</v>
      </c>
      <c r="J18" s="549">
        <f t="shared" si="0"/>
        <v>0</v>
      </c>
      <c r="K18" s="547">
        <v>0</v>
      </c>
      <c r="L18" s="550">
        <f t="shared" si="1"/>
        <v>0</v>
      </c>
      <c r="M18" s="88" t="s">
        <v>44</v>
      </c>
    </row>
    <row r="19" spans="1:25" ht="12" customHeight="1" x14ac:dyDescent="0.2">
      <c r="A19" s="86" t="s">
        <v>113</v>
      </c>
      <c r="C19" s="87" t="s">
        <v>45</v>
      </c>
      <c r="D19" s="548">
        <f>SUMIFS('Accounting data'!$G$2:$G$37000,'Accounting data'!$H$2:$H$37000,"1000*",'Accounting data'!$I$2:$I$37000,"61*",'Accounting data'!$K$2:$K$37000,"61*")+SUMIFS('Accounting data'!$G$2:$G$37000,'Accounting data'!$H$2:$H$37000,"1500*",'Accounting data'!$I$2:$I$37000,"61*",'Accounting data'!$K$2:$K$37000,"61*")</f>
        <v>2979</v>
      </c>
      <c r="E19" s="548">
        <f>SUMIFS('Accounting data'!$G$2:$G$37000,'Accounting data'!$H$2:$H$37000,"1000*",'Accounting data'!$I$2:$I$37000,"61*",'Accounting data'!$K$2:$K$37000,"62*")+SUMIFS('Accounting data'!$G$2:$G$37000,'Accounting data'!$H$2:$H$37000,"1500*",'Accounting data'!$I$2:$I$37000,"61*",'Accounting data'!$K$2:$K$37000,"62*")</f>
        <v>879</v>
      </c>
      <c r="F19" s="548">
        <f>SUMIFS('Accounting data'!$G$2:$G$37000,'Accounting data'!$H$2:$H$37000,"1000*",'Accounting data'!$I$2:$I$37000,"61*",'Accounting data'!$K$2:$K$37000,"63*")+SUMIFS('Accounting data'!$G$2:$G$37000,'Accounting data'!$H$2:$H$37000,"1500*",'Accounting data'!$I$2:$I$37000,"61*",'Accounting data'!$K$2:$K$37000,"63*")</f>
        <v>0</v>
      </c>
      <c r="G19" s="548">
        <f>SUMIFS('Accounting data'!$G$2:$G$37000,'Accounting data'!$H$2:$H$37000,"1000*",'Accounting data'!$I$2:$I$37000,"61*",'Accounting data'!$K$2:$K$37000,"66*")+SUMIFS('Accounting data'!$G$2:$G$37000,'Accounting data'!$H$2:$H$37000,"1500*",'Accounting data'!$I$2:$I$37000,"61*",'Accounting data'!$K$2:$K$37000,"66*")</f>
        <v>863</v>
      </c>
      <c r="H19" s="548">
        <f>SUMIFS('Accounting data'!$G$2:$G$37000,'Accounting data'!$H$2:$H$37000,"1000*",'Accounting data'!$I$2:$I$37000,"61*",'Accounting data'!$K$2:$K$37000,"68*")+SUMIFS('Accounting data'!$G$2:$G$37000,'Accounting data'!$H$2:$H$37000,"1500*",'Accounting data'!$I$2:$I$37000,"61*",'Accounting data'!$K$2:$K$37000,"68*")</f>
        <v>5082</v>
      </c>
      <c r="I19" s="547">
        <v>2993</v>
      </c>
      <c r="J19" s="549">
        <f t="shared" si="0"/>
        <v>9803</v>
      </c>
      <c r="K19" s="547">
        <v>37983</v>
      </c>
      <c r="L19" s="550">
        <f t="shared" si="1"/>
        <v>-0.7419</v>
      </c>
      <c r="M19" s="88" t="s">
        <v>45</v>
      </c>
    </row>
    <row r="20" spans="1:25" ht="12" customHeight="1" x14ac:dyDescent="0.2">
      <c r="A20" s="86" t="s">
        <v>114</v>
      </c>
      <c r="C20" s="87" t="s">
        <v>47</v>
      </c>
      <c r="D20" s="548">
        <f>SUMIFS('Accounting data'!$G$2:$G$37000,'Accounting data'!$H$2:$H$37000,"1000*",'Accounting data'!$I$2:$I$37000,"62*",'Accounting data'!$K$2:$K$37000,"61*")+SUMIFS('Accounting data'!$G$2:$G$37000,'Accounting data'!$H$2:$H$37000,"1500*",'Accounting data'!$I$2:$I$37000,"62*",'Accounting data'!$K$2:$K$37000,"61*")</f>
        <v>13690</v>
      </c>
      <c r="E20" s="548">
        <f>SUMIFS('Accounting data'!$G$2:$G$37000,'Accounting data'!$H$2:$H$37000,"1000*",'Accounting data'!$I$2:$I$37000,"62*",'Accounting data'!$K$2:$K$37000,"62*")+SUMIFS('Accounting data'!$G$2:$G$37000,'Accounting data'!$H$2:$H$37000,"1500*",'Accounting data'!$I$2:$I$37000,"62*",'Accounting data'!$K$2:$K$37000,"62*")</f>
        <v>2200</v>
      </c>
      <c r="F20" s="548">
        <f>SUMIFS('Accounting data'!$G$2:$G$37000,'Accounting data'!$H$2:$H$37000,"1000*",'Accounting data'!$I$2:$I$37000,"62*",'Accounting data'!$K$2:$K$37000,"63*")+SUMIFS('Accounting data'!$G$2:$G$37000,'Accounting data'!$H$2:$H$37000,"1500*",'Accounting data'!$I$2:$I$37000,"62*",'Accounting data'!$K$2:$K$37000,"63*")</f>
        <v>3868</v>
      </c>
      <c r="G20" s="548">
        <f>SUMIFS('Accounting data'!$G$2:$G$37000,'Accounting data'!$H$2:$H$37000,"1000*",'Accounting data'!$I$2:$I$37000,"62*",'Accounting data'!$K$2:$K$37000,"66*")+SUMIFS('Accounting data'!$G$2:$G$37000,'Accounting data'!$H$2:$H$37000,"1500*",'Accounting data'!$I$2:$I$37000,"62*",'Accounting data'!$K$2:$K$37000,"66*")</f>
        <v>3072</v>
      </c>
      <c r="H20" s="548">
        <f>SUMIFS('Accounting data'!$G$2:$G$37000,'Accounting data'!$H$2:$H$37000,"1000*",'Accounting data'!$I$2:$I$37000,"62*",'Accounting data'!$K$2:$K$37000,"68*")+SUMIFS('Accounting data'!$G$2:$G$37000,'Accounting data'!$H$2:$H$37000,"1500*",'Accounting data'!$I$2:$I$37000,"62*",'Accounting data'!$K$2:$K$37000,"68*")</f>
        <v>7081</v>
      </c>
      <c r="I20" s="547">
        <v>28770</v>
      </c>
      <c r="J20" s="549">
        <f t="shared" si="0"/>
        <v>29911</v>
      </c>
      <c r="K20" s="547">
        <v>22208</v>
      </c>
      <c r="L20" s="550">
        <f t="shared" si="1"/>
        <v>0.34689999999999999</v>
      </c>
      <c r="M20" s="88" t="s">
        <v>47</v>
      </c>
    </row>
    <row r="21" spans="1:25" ht="12" customHeight="1" x14ac:dyDescent="0.2">
      <c r="A21" s="86" t="s">
        <v>115</v>
      </c>
      <c r="C21" s="87" t="s">
        <v>49</v>
      </c>
      <c r="D21" s="548">
        <f>SUMIFS('Accounting data'!$G$2:$G$37000,'Accounting data'!$H$2:$H$37000,"1000*",'Accounting data'!$I$2:$I$37000,"63*",'Accounting data'!$K$2:$K$37000,"61*")+SUMIFS('Accounting data'!$G$2:$G$37000,'Accounting data'!$H$2:$H$37000,"1500*",'Accounting data'!$I$2:$I$37000,"63*",'Accounting data'!$K$2:$K$37000,"61*")</f>
        <v>0</v>
      </c>
      <c r="E21" s="548">
        <f>SUMIFS('Accounting data'!$G$2:$G$37000,'Accounting data'!$H$2:$H$37000,"1000*",'Accounting data'!$I$2:$I$37000,"63*",'Accounting data'!$K$2:$K$37000,"62*")+SUMIFS('Accounting data'!$G$2:$G$37000,'Accounting data'!$H$2:$H$37000,"1500*",'Accounting data'!$I$2:$I$37000,"63*",'Accounting data'!$K$2:$K$37000,"62*")</f>
        <v>0</v>
      </c>
      <c r="F21" s="548">
        <f>SUMIFS('Accounting data'!$G$2:$G$37000,'Accounting data'!$H$2:$H$37000,"1000*",'Accounting data'!$I$2:$I$37000,"63*",'Accounting data'!$K$2:$K$37000,"63*")+SUMIFS('Accounting data'!$G$2:$G$37000,'Accounting data'!$H$2:$H$37000,"1500*",'Accounting data'!$I$2:$I$37000,"63*",'Accounting data'!$K$2:$K$37000,"63*")</f>
        <v>0</v>
      </c>
      <c r="G21" s="548">
        <f>SUMIFS('Accounting data'!$G$2:$G$37000,'Accounting data'!$H$2:$H$37000,"1000*",'Accounting data'!$I$2:$I$37000,"63*",'Accounting data'!$K$2:$K$37000,"66*")+SUMIFS('Accounting data'!$G$2:$G$37000,'Accounting data'!$H$2:$H$37000,"1500*",'Accounting data'!$I$2:$I$37000,"63*",'Accounting data'!$K$2:$K$37000,"66*")</f>
        <v>0</v>
      </c>
      <c r="H21" s="596">
        <f>SUMIFS('Accounting data'!$G$2:$G$37000,'Accounting data'!$H$2:$H$37000,"1000*",'Accounting data'!$I$2:$I$37000,"63*",'Accounting data'!$K$2:$K$37000,"68*")+SUMIFS('Accounting data'!$G$2:$G$37000,'Accounting data'!$H$2:$H$37000,"1500*",'Accounting data'!$I$2:$I$37000,"63*",'Accounting data'!$K$2:$K$37000,"68*")</f>
        <v>0</v>
      </c>
      <c r="I21" s="779">
        <v>21274</v>
      </c>
      <c r="J21" s="597">
        <f t="shared" si="0"/>
        <v>0</v>
      </c>
      <c r="K21" s="547">
        <v>0</v>
      </c>
      <c r="L21" s="828">
        <f>IF(J21+J22=K22,0,IF(K22&gt;0,(J21+J22-K22)/K22,"--"))</f>
        <v>2.2923</v>
      </c>
      <c r="M21" s="63" t="s">
        <v>49</v>
      </c>
    </row>
    <row r="22" spans="1:25" ht="12" customHeight="1" x14ac:dyDescent="0.2">
      <c r="A22" s="86" t="s">
        <v>116</v>
      </c>
      <c r="C22" s="87" t="s">
        <v>51</v>
      </c>
      <c r="D22" s="548">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20070</v>
      </c>
      <c r="E22" s="548">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1198</v>
      </c>
      <c r="F22" s="548">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48">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48">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78"/>
      <c r="J22" s="549">
        <f t="shared" si="0"/>
        <v>21268</v>
      </c>
      <c r="K22" s="547">
        <v>6460</v>
      </c>
      <c r="L22" s="830"/>
      <c r="M22" s="63" t="s">
        <v>51</v>
      </c>
    </row>
    <row r="23" spans="1:25" ht="12" customHeight="1" x14ac:dyDescent="0.2">
      <c r="A23" s="90" t="s">
        <v>117</v>
      </c>
      <c r="B23" s="6"/>
      <c r="C23" s="91" t="s">
        <v>53</v>
      </c>
      <c r="D23" s="548">
        <f t="shared" ref="D23:H23" si="2">SUM(D6:D22)</f>
        <v>1551230</v>
      </c>
      <c r="E23" s="548">
        <f t="shared" si="2"/>
        <v>519845</v>
      </c>
      <c r="F23" s="548">
        <f t="shared" si="2"/>
        <v>1556784</v>
      </c>
      <c r="G23" s="548">
        <f t="shared" si="2"/>
        <v>157152</v>
      </c>
      <c r="H23" s="548">
        <f t="shared" si="2"/>
        <v>114076</v>
      </c>
      <c r="I23" s="549">
        <f>SUM(I7:I22)</f>
        <v>2887764</v>
      </c>
      <c r="J23" s="549">
        <f>SUM(J7:J22)</f>
        <v>3899087</v>
      </c>
      <c r="K23" s="549">
        <f>SUM(K7:K22)</f>
        <v>4400771</v>
      </c>
      <c r="L23" s="550">
        <f>IF(J23=K23,0,IF(K23&gt;0,(J23-K23)/K23,"--"))</f>
        <v>-0.114</v>
      </c>
      <c r="M23" s="63" t="s">
        <v>53</v>
      </c>
    </row>
    <row r="24" spans="1:25" ht="12" customHeight="1" x14ac:dyDescent="0.2">
      <c r="A24" s="92" t="s">
        <v>118</v>
      </c>
      <c r="C24" s="75"/>
      <c r="D24" s="85"/>
      <c r="E24" s="85"/>
      <c r="F24" s="85"/>
      <c r="G24" s="85"/>
      <c r="H24" s="85"/>
      <c r="I24" s="85"/>
      <c r="J24" s="85"/>
      <c r="K24" s="85"/>
      <c r="L24" s="828">
        <f>IF(J25=K25,0,IF(K25&gt;0,(J25-K25)/K25,"--"))</f>
        <v>1.2064999999999999</v>
      </c>
      <c r="M24" s="564"/>
    </row>
    <row r="25" spans="1:25" ht="12" customHeight="1" x14ac:dyDescent="0.2">
      <c r="A25" s="86" t="s">
        <v>119</v>
      </c>
      <c r="C25" s="87" t="s">
        <v>55</v>
      </c>
      <c r="D25" s="552">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255713</v>
      </c>
      <c r="E25" s="552">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76638</v>
      </c>
      <c r="F25" s="552">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6253</v>
      </c>
      <c r="G25" s="552">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0</v>
      </c>
      <c r="H25" s="552">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552">
        <v>244050</v>
      </c>
      <c r="J25" s="552">
        <f>SUM(D25:H25)</f>
        <v>338604</v>
      </c>
      <c r="K25" s="552">
        <v>153457</v>
      </c>
      <c r="L25" s="829"/>
      <c r="M25" s="63" t="s">
        <v>55</v>
      </c>
      <c r="Y25" s="545"/>
    </row>
    <row r="26" spans="1:25" ht="12" customHeight="1" x14ac:dyDescent="0.2">
      <c r="A26" s="86" t="s">
        <v>120</v>
      </c>
      <c r="C26" s="87"/>
      <c r="D26" s="85"/>
      <c r="E26" s="85"/>
      <c r="F26" s="85"/>
      <c r="G26" s="85"/>
      <c r="H26" s="85"/>
      <c r="I26" s="85"/>
      <c r="J26" s="85"/>
      <c r="K26" s="85"/>
      <c r="L26" s="828">
        <f>IF(J27=K27,0,IF(K27&gt;0,(J27-K27)/K27,"--"))</f>
        <v>-6.0699999999999997E-2</v>
      </c>
      <c r="M26" s="63"/>
      <c r="T26" s="545"/>
    </row>
    <row r="27" spans="1:25" ht="12" customHeight="1" x14ac:dyDescent="0.2">
      <c r="A27" s="86" t="s">
        <v>121</v>
      </c>
      <c r="C27" s="87" t="s">
        <v>57</v>
      </c>
      <c r="D27" s="552">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67780</v>
      </c>
      <c r="E27" s="552">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20717</v>
      </c>
      <c r="F27" s="552">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30204</v>
      </c>
      <c r="G27" s="552">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2285</v>
      </c>
      <c r="H27" s="552">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59</v>
      </c>
      <c r="I27" s="552">
        <v>104259</v>
      </c>
      <c r="J27" s="552">
        <f>SUM(D27:H27)</f>
        <v>121045</v>
      </c>
      <c r="K27" s="552">
        <v>128866</v>
      </c>
      <c r="L27" s="829"/>
      <c r="M27" s="63" t="s">
        <v>57</v>
      </c>
    </row>
    <row r="28" spans="1:25" ht="12" customHeight="1" x14ac:dyDescent="0.2">
      <c r="A28" s="86" t="s">
        <v>122</v>
      </c>
      <c r="C28" s="87" t="s">
        <v>59</v>
      </c>
      <c r="D28" s="548">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0</v>
      </c>
      <c r="E28" s="548">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0</v>
      </c>
      <c r="F28" s="548">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220</v>
      </c>
      <c r="G28" s="548">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48">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1285</v>
      </c>
      <c r="I28" s="547">
        <v>1762</v>
      </c>
      <c r="J28" s="549">
        <f t="shared" ref="J28:J36" si="3">SUM(D28:H28)</f>
        <v>1505</v>
      </c>
      <c r="K28" s="547">
        <v>10086</v>
      </c>
      <c r="L28" s="550">
        <f t="shared" ref="L28:L48" si="4">IF(J28=K28,0,IF(K28&gt;0,(J28-K28)/K28,"--"))</f>
        <v>-0.8508</v>
      </c>
      <c r="M28" s="63" t="s">
        <v>59</v>
      </c>
    </row>
    <row r="29" spans="1:25" ht="12" customHeight="1" x14ac:dyDescent="0.2">
      <c r="A29" s="86" t="s">
        <v>123</v>
      </c>
      <c r="C29" s="87" t="s">
        <v>61</v>
      </c>
      <c r="D29" s="548">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48">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48">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0</v>
      </c>
      <c r="G29" s="548">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48">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47">
        <v>0</v>
      </c>
      <c r="J29" s="549">
        <f t="shared" si="3"/>
        <v>0</v>
      </c>
      <c r="K29" s="547">
        <v>120</v>
      </c>
      <c r="L29" s="550">
        <f t="shared" si="4"/>
        <v>-1</v>
      </c>
      <c r="M29" s="63" t="s">
        <v>61</v>
      </c>
    </row>
    <row r="30" spans="1:25" ht="12" customHeight="1" x14ac:dyDescent="0.2">
      <c r="A30" s="86" t="s">
        <v>124</v>
      </c>
      <c r="C30" s="87" t="s">
        <v>63</v>
      </c>
      <c r="D30" s="548">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48">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48">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48">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48">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47">
        <v>0</v>
      </c>
      <c r="J30" s="549">
        <f t="shared" si="3"/>
        <v>0</v>
      </c>
      <c r="K30" s="547">
        <v>0</v>
      </c>
      <c r="L30" s="550">
        <f t="shared" si="4"/>
        <v>0</v>
      </c>
      <c r="M30" s="63" t="s">
        <v>63</v>
      </c>
    </row>
    <row r="31" spans="1:25" ht="12" customHeight="1" x14ac:dyDescent="0.2">
      <c r="A31" s="86" t="s">
        <v>125</v>
      </c>
      <c r="C31" s="87" t="s">
        <v>65</v>
      </c>
      <c r="D31" s="548">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48">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48">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175</v>
      </c>
      <c r="G31" s="548">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22</v>
      </c>
      <c r="H31" s="548">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47">
        <v>141</v>
      </c>
      <c r="J31" s="549">
        <f t="shared" si="3"/>
        <v>197</v>
      </c>
      <c r="K31" s="547">
        <v>0</v>
      </c>
      <c r="L31" s="550" t="str">
        <f t="shared" si="4"/>
        <v>--</v>
      </c>
      <c r="M31" s="63" t="s">
        <v>65</v>
      </c>
    </row>
    <row r="32" spans="1:25" ht="12" customHeight="1" x14ac:dyDescent="0.2">
      <c r="A32" s="86" t="s">
        <v>126</v>
      </c>
      <c r="C32" s="87" t="s">
        <v>67</v>
      </c>
      <c r="D32" s="548">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48">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48">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48">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48">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47">
        <v>0</v>
      </c>
      <c r="J32" s="549">
        <f t="shared" si="3"/>
        <v>0</v>
      </c>
      <c r="K32" s="547">
        <v>0</v>
      </c>
      <c r="L32" s="550">
        <f t="shared" si="4"/>
        <v>0</v>
      </c>
      <c r="M32" s="63" t="s">
        <v>67</v>
      </c>
    </row>
    <row r="33" spans="1:13" ht="12" customHeight="1" x14ac:dyDescent="0.2">
      <c r="A33" s="86" t="s">
        <v>127</v>
      </c>
      <c r="C33" s="87" t="s">
        <v>69</v>
      </c>
      <c r="D33" s="548">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48">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48">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48">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48">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47">
        <v>0</v>
      </c>
      <c r="J33" s="549">
        <f t="shared" si="3"/>
        <v>0</v>
      </c>
      <c r="K33" s="547">
        <v>0</v>
      </c>
      <c r="L33" s="550">
        <f t="shared" si="4"/>
        <v>0</v>
      </c>
      <c r="M33" s="63" t="s">
        <v>69</v>
      </c>
    </row>
    <row r="34" spans="1:13" ht="12" customHeight="1" x14ac:dyDescent="0.2">
      <c r="A34" s="86" t="s">
        <v>128</v>
      </c>
      <c r="C34" s="87" t="s">
        <v>71</v>
      </c>
      <c r="D34" s="548">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48">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48">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48">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48">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47">
        <v>0</v>
      </c>
      <c r="J34" s="549">
        <f t="shared" si="3"/>
        <v>0</v>
      </c>
      <c r="K34" s="547">
        <v>0</v>
      </c>
      <c r="L34" s="550">
        <f t="shared" si="4"/>
        <v>0</v>
      </c>
      <c r="M34" s="63" t="s">
        <v>71</v>
      </c>
    </row>
    <row r="35" spans="1:13" ht="12" customHeight="1" x14ac:dyDescent="0.2">
      <c r="A35" s="86" t="s">
        <v>129</v>
      </c>
      <c r="C35" s="87" t="s">
        <v>73</v>
      </c>
      <c r="D35" s="548">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48">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48">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48">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48">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47">
        <v>0</v>
      </c>
      <c r="J35" s="549">
        <f t="shared" si="3"/>
        <v>0</v>
      </c>
      <c r="K35" s="547">
        <v>0</v>
      </c>
      <c r="L35" s="550">
        <f t="shared" si="4"/>
        <v>0</v>
      </c>
      <c r="M35" s="63" t="s">
        <v>73</v>
      </c>
    </row>
    <row r="36" spans="1:13" ht="12" customHeight="1" x14ac:dyDescent="0.2">
      <c r="A36" s="86" t="s">
        <v>130</v>
      </c>
      <c r="C36" s="87" t="s">
        <v>75</v>
      </c>
      <c r="D36" s="548">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48">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48">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48">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48">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47">
        <v>0</v>
      </c>
      <c r="J36" s="549">
        <f t="shared" si="3"/>
        <v>0</v>
      </c>
      <c r="K36" s="547">
        <v>0</v>
      </c>
      <c r="L36" s="550">
        <f t="shared" si="4"/>
        <v>0</v>
      </c>
      <c r="M36" s="63" t="s">
        <v>75</v>
      </c>
    </row>
    <row r="37" spans="1:13" ht="12" customHeight="1" x14ac:dyDescent="0.2">
      <c r="A37" s="90" t="s">
        <v>131</v>
      </c>
      <c r="B37" s="6"/>
      <c r="C37" s="93" t="s">
        <v>77</v>
      </c>
      <c r="D37" s="548">
        <f>SUM(D25:D36)</f>
        <v>323493</v>
      </c>
      <c r="E37" s="548">
        <f t="shared" ref="E37:G37" si="5">SUM(E25:E36)</f>
        <v>97355</v>
      </c>
      <c r="F37" s="548">
        <f t="shared" si="5"/>
        <v>36852</v>
      </c>
      <c r="G37" s="548">
        <f t="shared" si="5"/>
        <v>2307</v>
      </c>
      <c r="H37" s="548">
        <f>SUM(H25:H36)</f>
        <v>1344</v>
      </c>
      <c r="I37" s="548">
        <f>SUM(I25:I36)</f>
        <v>350212</v>
      </c>
      <c r="J37" s="548">
        <f>SUM(J25:J36)</f>
        <v>461351</v>
      </c>
      <c r="K37" s="548">
        <f>SUM(K25:K36)</f>
        <v>292529</v>
      </c>
      <c r="L37" s="94">
        <f t="shared" si="4"/>
        <v>0.57709999999999995</v>
      </c>
      <c r="M37" s="95" t="s">
        <v>77</v>
      </c>
    </row>
    <row r="38" spans="1:13" ht="12" customHeight="1" x14ac:dyDescent="0.2">
      <c r="A38" s="96" t="s">
        <v>132</v>
      </c>
      <c r="B38" s="97"/>
      <c r="C38" s="93" t="s">
        <v>79</v>
      </c>
      <c r="D38" s="548">
        <f>SUMIFS('Accounting data'!$G$2:$G$37000,'Accounting data'!$H$2:$H$37000,"1000*",'Accounting data'!$I$2:$I$37000,"400*",'Accounting data'!$K$2:$K$37000,"61*")+SUMIFS('Accounting data'!$G$2:$G$37000,'Accounting data'!$H$2:$H$37000,"1500*",'Accounting data'!$I$2:$I$37000,"400*",'Accounting data'!$K$2:$K$37000,"61*")</f>
        <v>2761</v>
      </c>
      <c r="E38" s="548">
        <f>SUMIFS('Accounting data'!$G$2:$G$37000,'Accounting data'!$H$2:$H$37000,"1000*",'Accounting data'!$I$2:$I$37000,"400*",'Accounting data'!$K$2:$K$37000,"62*")+SUMIFS('Accounting data'!$G$2:$G$37000,'Accounting data'!$H$2:$H$37000,"1500*",'Accounting data'!$I$2:$I$37000,"400*",'Accounting data'!$K$2:$K$37000,"62*")</f>
        <v>1160</v>
      </c>
      <c r="F38" s="548">
        <f>SUMIFS('Accounting data'!$G$2:$G$37000,'Accounting data'!$H$2:$H$37000,"1000*",'Accounting data'!$I$2:$I$37000,"400*",'Accounting data'!$K$2:$K$37000,"63*")+SUMIFS('Accounting data'!$G$2:$G$37000,'Accounting data'!$H$2:$H$37000,"1500*",'Accounting data'!$I$2:$I$37000,"400*",'Accounting data'!$K$2:$K$37000,"63*")</f>
        <v>9223</v>
      </c>
      <c r="G38" s="548">
        <f>SUMIFS('Accounting data'!$G$2:$G$37000,'Accounting data'!$H$2:$H$37000,"1000*",'Accounting data'!$I$2:$I$37000,"400*",'Accounting data'!$K$2:$K$37000,"66*")+SUMIFS('Accounting data'!$G$2:$G$37000,'Accounting data'!$H$2:$H$37000,"1500*",'Accounting data'!$I$2:$I$37000,"400*",'Accounting data'!$K$2:$K$37000,"66*")</f>
        <v>0</v>
      </c>
      <c r="H38" s="548">
        <f>SUMIFS('Accounting data'!$G$2:$G$37000,'Accounting data'!$H$2:$H$37000,"1000*",'Accounting data'!$I$2:$I$37000,"400*",'Accounting data'!$K$2:$K$37000,"68*")+SUMIFS('Accounting data'!$G$2:$G$37000,'Accounting data'!$H$2:$H$37000,"1500*",'Accounting data'!$I$2:$I$37000,"400*",'Accounting data'!$K$2:$K$37000,"68*")</f>
        <v>0</v>
      </c>
      <c r="I38" s="547">
        <v>6732</v>
      </c>
      <c r="J38" s="549">
        <f>SUM(D38:H38)</f>
        <v>13144</v>
      </c>
      <c r="K38" s="547">
        <v>12391</v>
      </c>
      <c r="L38" s="550">
        <f t="shared" si="4"/>
        <v>6.08E-2</v>
      </c>
      <c r="M38" s="95" t="s">
        <v>79</v>
      </c>
    </row>
    <row r="39" spans="1:13" ht="12" customHeight="1" x14ac:dyDescent="0.2">
      <c r="A39" s="96" t="s">
        <v>133</v>
      </c>
      <c r="B39" s="97"/>
      <c r="C39" s="98" t="s">
        <v>81</v>
      </c>
      <c r="D39" s="548">
        <f>SUMIFS('Accounting data'!$G$2:$G$37000,'Accounting data'!$H$2:$H$37000,"1000*",'Accounting data'!$I$2:$I$37000,"53*",'Accounting data'!$K$2:$K$37000,"61*")+SUMIFS('Accounting data'!$G$2:$G$37000,'Accounting data'!$H$2:$H$37000,"1500*",'Accounting data'!$I$2:$I$37000,"53*",'Accounting data'!$K$2:$K$37000,"61*")</f>
        <v>0</v>
      </c>
      <c r="E39" s="548">
        <f>SUMIFS('Accounting data'!$G$2:$G$37000,'Accounting data'!$H$2:$H$37000,"1000*",'Accounting data'!$I$2:$I$37000,"53*",'Accounting data'!$K$2:$K$37000,"62*")+SUMIFS('Accounting data'!$G$2:$G$37000,'Accounting data'!$H$2:$H$37000,"1000*",'Accounting data'!$I$2:$I$37000,"53*",'Accounting data'!$K$2:$K$37000,"62*")</f>
        <v>0</v>
      </c>
      <c r="F39" s="548">
        <f>SUMIFS('Accounting data'!$G$2:$G$37000,'Accounting data'!$H$2:$H$37000,"1000*",'Accounting data'!$I$2:$I$37000,"53*",'Accounting data'!$K$2:$K$37000,"63*")+SUMIFS('Accounting data'!$G$2:$G$37000,'Accounting data'!$H$2:$H$37000,"1500*",'Accounting data'!$I$2:$I$37000,"53*",'Accounting data'!$K$2:$K$37000,"63*")</f>
        <v>0</v>
      </c>
      <c r="G39" s="548">
        <f>SUMIFS('Accounting data'!$G$2:$G$37000,'Accounting data'!$H$2:$H$37000,"1000*",'Accounting data'!$I$2:$I$37000,"53*",'Accounting data'!$K$2:$K$37000,"66*")+SUMIFS('Accounting data'!$G$2:$G$37000,'Accounting data'!$H$2:$H$37000,"1500*",'Accounting data'!$I$2:$I$37000,"53*",'Accounting data'!$K$2:$K$37000,"66*")</f>
        <v>0</v>
      </c>
      <c r="H39" s="548">
        <f>SUMIFS('Accounting data'!$G$2:$G$37000,'Accounting data'!$H$2:$H$37000,"1000*",'Accounting data'!$I$2:$I$37000,"53*",'Accounting data'!$K$2:$K$37000,"68*")+SUMIFS('Accounting data'!$G$2:$G$37000,'Accounting data'!$H$2:$H$37000,"1500*",'Accounting data'!$I$2:$I$37000,"53*",'Accounting data'!$K$2:$K$37000,"68*")</f>
        <v>0</v>
      </c>
      <c r="I39" s="547">
        <v>0</v>
      </c>
      <c r="J39" s="549">
        <f>SUM(D39:H39)</f>
        <v>0</v>
      </c>
      <c r="K39" s="547">
        <v>0</v>
      </c>
      <c r="L39" s="550">
        <f t="shared" si="4"/>
        <v>0</v>
      </c>
      <c r="M39" s="95" t="s">
        <v>81</v>
      </c>
    </row>
    <row r="40" spans="1:13" ht="12" customHeight="1" x14ac:dyDescent="0.2">
      <c r="A40" s="96" t="s">
        <v>134</v>
      </c>
      <c r="B40" s="97"/>
      <c r="C40" s="98" t="s">
        <v>83</v>
      </c>
      <c r="D40" s="548">
        <f>SUMIFS('Accounting data'!$G$2:$G$37000,'Accounting data'!$H$2:$H$37000,"1000*",'Accounting data'!$I$2:$I$37000,"54*",'Accounting data'!$K$2:$K$37000,"61*")+SUMIFS('Accounting data'!$G$2:$G$37000,'Accounting data'!$H$2:$H$37000,"1500*",'Accounting data'!$I$2:$I$37000,"54*",'Accounting data'!$K$2:$K$37000,"61*")</f>
        <v>0</v>
      </c>
      <c r="E40" s="548">
        <f>SUMIFS('Accounting data'!$G$2:$G$37000,'Accounting data'!$H$2:$H$37000,"1000*",'Accounting data'!$I$2:$I$37000,"54*",'Accounting data'!$K$2:$K$37000,"62*")+SUMIFS('Accounting data'!$G$2:$G$37000,'Accounting data'!$H$2:$H$37000,"1500*",'Accounting data'!$I$2:$I$37000,"54*",'Accounting data'!$K$2:$K$37000,"62*")</f>
        <v>0</v>
      </c>
      <c r="F40" s="548">
        <f>SUMIFS('Accounting data'!$G$2:$G$37000,'Accounting data'!$H$2:$H$37000,"1000*",'Accounting data'!$I$2:$I$37000,"54*",'Accounting data'!$K$2:$K$37000,"63*")+SUMIFS('Accounting data'!$G$2:$G$37000,'Accounting data'!$H$2:$H$37000,"1500*",'Accounting data'!$I$2:$I$37000,"54*",'Accounting data'!$K$2:$K$37000,"63*")</f>
        <v>0</v>
      </c>
      <c r="G40" s="548">
        <f>SUMIFS('Accounting data'!$G$2:$G$37000,'Accounting data'!$H$2:$H$37000,"1000*",'Accounting data'!$I$2:$I$37000,"54*",'Accounting data'!$K$2:$K$37000,"66*")+SUMIFS('Accounting data'!$G$2:$G$37000,'Accounting data'!$H$2:$H$37000,"1500*",'Accounting data'!$I$2:$I$37000,"54*",'Accounting data'!$K$2:$K$37000,"66*")</f>
        <v>0</v>
      </c>
      <c r="H40" s="548">
        <f>SUMIFS('Accounting data'!$G$2:$G$37000,'Accounting data'!$H$2:$H$37000,"1000*",'Accounting data'!$I$2:$I$37000,"54*",'Accounting data'!$K$2:$K$37000,"68*")+SUMIFS('Accounting data'!$G$2:$G$37000,'Accounting data'!$H$2:$H$37000,"1500*",'Accounting data'!$I$2:$I$37000,"54*",'Accounting data'!$K$2:$K$37000,"68*")</f>
        <v>0</v>
      </c>
      <c r="I40" s="547">
        <v>0</v>
      </c>
      <c r="J40" s="549">
        <f>SUM(D40:H40)</f>
        <v>0</v>
      </c>
      <c r="K40" s="547">
        <v>0</v>
      </c>
      <c r="L40" s="550">
        <f t="shared" si="4"/>
        <v>0</v>
      </c>
      <c r="M40" s="95" t="s">
        <v>83</v>
      </c>
    </row>
    <row r="41" spans="1:13" ht="12" customHeight="1" x14ac:dyDescent="0.2">
      <c r="A41" s="96" t="s">
        <v>135</v>
      </c>
      <c r="B41" s="97"/>
      <c r="C41" s="98" t="s">
        <v>84</v>
      </c>
      <c r="D41" s="548">
        <f>SUMIFS('Accounting data'!$G$2:$G$37000,'Accounting data'!$H$2:$H$37000,"1000*",'Accounting data'!$I$2:$I$37000,"55*",'Accounting data'!$K$2:$K$37000,"61*")+SUMIFS('Accounting data'!$G$2:$G$37000,'Accounting data'!$H$2:$H$37000,"1500*",'Accounting data'!$I$2:$I$37000,"55*",'Accounting data'!$K$2:$K$37000,"61*")</f>
        <v>0</v>
      </c>
      <c r="E41" s="548">
        <f>SUMIFS('Accounting data'!$G$2:$G$37000,'Accounting data'!$H$2:$H$37000,"1000*",'Accounting data'!$I$2:$I$37000,"55*",'Accounting data'!$K$2:$K$37000,"62*")+SUMIFS('Accounting data'!$G$2:$G$37000,'Accounting data'!$H$2:$H$37000,"1500*",'Accounting data'!$I$2:$I$37000,"55*",'Accounting data'!$K$2:$K$37000,"62*")</f>
        <v>0</v>
      </c>
      <c r="F41" s="548">
        <f>SUMIFS('Accounting data'!$G$2:$G$37000,'Accounting data'!$H$2:$H$37000,"1000*",'Accounting data'!$I$2:$I$37000,"55*",'Accounting data'!$K$2:$K$37000,"63*")+SUMIFS('Accounting data'!$G$2:$G$37000,'Accounting data'!$H$2:$H$37000,"1500*",'Accounting data'!$I$2:$I$37000,"55*",'Accounting data'!$K$2:$K$37000,"63*")</f>
        <v>0</v>
      </c>
      <c r="G41" s="548">
        <f>SUMIFS('Accounting data'!$G$2:$G$37000,'Accounting data'!$H$2:$H$37000,"1000*",'Accounting data'!$I$2:$I$37000,"55*",'Accounting data'!$K$2:$K$37000,"66*")+SUMIFS('Accounting data'!$G$2:$G$37000,'Accounting data'!$H$2:$H$37000,"1500*",'Accounting data'!$I$2:$I$37000,"55*",'Accounting data'!$K$2:$K$37000,"66*")</f>
        <v>0</v>
      </c>
      <c r="H41" s="548">
        <f>SUMIFS('Accounting data'!$G$2:$G$37000,'Accounting data'!$H$2:$H$37000,"1000*",'Accounting data'!$I$2:$I$37000,"55*",'Accounting data'!$K$2:$K$37000,"68*")+SUMIFS('Accounting data'!$G$2:$G$37000,'Accounting data'!$H$2:$H$37000,"1500*",'Accounting data'!$I$2:$I$37000,"55*",'Accounting data'!$K$2:$K$37000,"68*")</f>
        <v>0</v>
      </c>
      <c r="I41" s="547">
        <v>0</v>
      </c>
      <c r="J41" s="549">
        <f>SUM(D41:H41)</f>
        <v>0</v>
      </c>
      <c r="K41" s="547">
        <v>0</v>
      </c>
      <c r="L41" s="550">
        <f t="shared" si="4"/>
        <v>0</v>
      </c>
      <c r="M41" s="95" t="s">
        <v>84</v>
      </c>
    </row>
    <row r="42" spans="1:13" ht="12" customHeight="1" x14ac:dyDescent="0.2">
      <c r="A42" s="96" t="s">
        <v>136</v>
      </c>
      <c r="B42" s="97"/>
      <c r="C42" s="98" t="s">
        <v>137</v>
      </c>
      <c r="D42" s="548">
        <f t="shared" ref="D42:I42" si="6">SUM(D38:D41)+D37+D23</f>
        <v>1877484</v>
      </c>
      <c r="E42" s="548">
        <f t="shared" si="6"/>
        <v>618360</v>
      </c>
      <c r="F42" s="548">
        <f t="shared" si="6"/>
        <v>1602859</v>
      </c>
      <c r="G42" s="548">
        <f t="shared" si="6"/>
        <v>159459</v>
      </c>
      <c r="H42" s="548">
        <f t="shared" si="6"/>
        <v>115420</v>
      </c>
      <c r="I42" s="547">
        <f t="shared" si="6"/>
        <v>3244708</v>
      </c>
      <c r="J42" s="549">
        <f>SUM(J37:J41)+J23</f>
        <v>4373582</v>
      </c>
      <c r="K42" s="549">
        <f>SUM(K23)+SUM(K37:K41)</f>
        <v>4705691</v>
      </c>
      <c r="L42" s="550">
        <f t="shared" si="4"/>
        <v>-7.0599999999999996E-2</v>
      </c>
      <c r="M42" s="95" t="s">
        <v>137</v>
      </c>
    </row>
    <row r="43" spans="1:13" ht="12" customHeight="1" x14ac:dyDescent="0.2">
      <c r="A43" s="96" t="s">
        <v>1149</v>
      </c>
      <c r="B43" s="97"/>
      <c r="C43" s="98" t="s">
        <v>138</v>
      </c>
      <c r="D43" s="548">
        <f>'Page 3'!F13</f>
        <v>250998</v>
      </c>
      <c r="E43" s="548">
        <f>'Page 3'!G13</f>
        <v>49999</v>
      </c>
      <c r="F43" s="548">
        <f>'Page 3'!H13</f>
        <v>0</v>
      </c>
      <c r="G43" s="548">
        <f>'Page 3'!I13</f>
        <v>0</v>
      </c>
      <c r="H43" s="691">
        <f>'Page 3'!G18</f>
        <v>0</v>
      </c>
      <c r="I43" s="547">
        <v>115675</v>
      </c>
      <c r="J43" s="549">
        <f>SUM(D43:H43)</f>
        <v>300997</v>
      </c>
      <c r="K43" s="547">
        <v>304383</v>
      </c>
      <c r="L43" s="550">
        <f t="shared" si="4"/>
        <v>-1.11E-2</v>
      </c>
      <c r="M43" s="95" t="s">
        <v>138</v>
      </c>
    </row>
    <row r="44" spans="1:13" ht="12" customHeight="1" x14ac:dyDescent="0.2">
      <c r="A44" s="96" t="s">
        <v>139</v>
      </c>
      <c r="B44" s="97"/>
      <c r="C44" s="98" t="s">
        <v>140</v>
      </c>
      <c r="D44" s="99"/>
      <c r="E44" s="99"/>
      <c r="F44" s="99"/>
      <c r="G44" s="99"/>
      <c r="H44" s="99"/>
      <c r="I44" s="547">
        <v>17666</v>
      </c>
      <c r="J44" s="549">
        <f>SUMIFS('Accounting data'!$G$2:$G$37000,'Accounting data'!$H$2:$H$37000,"1020*",'Accounting data'!$K$2:$K$37000,"6*")</f>
        <v>25169</v>
      </c>
      <c r="K44" s="547">
        <v>25263</v>
      </c>
      <c r="L44" s="550">
        <f t="shared" si="4"/>
        <v>-3.7000000000000002E-3</v>
      </c>
      <c r="M44" s="95" t="s">
        <v>140</v>
      </c>
    </row>
    <row r="45" spans="1:13" ht="12" customHeight="1" x14ac:dyDescent="0.2">
      <c r="A45" s="96" t="s">
        <v>141</v>
      </c>
      <c r="B45" s="97"/>
      <c r="C45" s="98" t="s">
        <v>142</v>
      </c>
      <c r="D45" s="548">
        <f>TotalSEIP6100</f>
        <v>0</v>
      </c>
      <c r="E45" s="548">
        <f>TotalSEIP6200</f>
        <v>0</v>
      </c>
      <c r="F45" s="548">
        <f>TotalSEIP630064006500</f>
        <v>0</v>
      </c>
      <c r="G45" s="548">
        <f>TotalSEIP6600</f>
        <v>0</v>
      </c>
      <c r="H45" s="548">
        <f>TotalSEIP6800</f>
        <v>0</v>
      </c>
      <c r="I45" s="547">
        <v>0</v>
      </c>
      <c r="J45" s="549">
        <f>SUM(D45:H45)</f>
        <v>0</v>
      </c>
      <c r="K45" s="547">
        <v>0</v>
      </c>
      <c r="L45" s="550">
        <f t="shared" si="4"/>
        <v>0</v>
      </c>
      <c r="M45" s="95" t="s">
        <v>142</v>
      </c>
    </row>
    <row r="46" spans="1:13" ht="12" customHeight="1" x14ac:dyDescent="0.2">
      <c r="A46" s="96" t="s">
        <v>143</v>
      </c>
      <c r="B46" s="97"/>
      <c r="C46" s="98" t="s">
        <v>144</v>
      </c>
      <c r="D46" s="548">
        <f>TotalCIP6100</f>
        <v>0</v>
      </c>
      <c r="E46" s="548">
        <f>TotalCIP6200</f>
        <v>0</v>
      </c>
      <c r="F46" s="548">
        <f>TotalCIP630064006500</f>
        <v>0</v>
      </c>
      <c r="G46" s="548">
        <f>TotalCIP6600</f>
        <v>0</v>
      </c>
      <c r="H46" s="548">
        <f>TotalCIP6800</f>
        <v>0</v>
      </c>
      <c r="I46" s="547">
        <v>0</v>
      </c>
      <c r="J46" s="549">
        <f>SUM(D46:H46)</f>
        <v>0</v>
      </c>
      <c r="K46" s="547">
        <v>0</v>
      </c>
      <c r="L46" s="550">
        <f t="shared" si="4"/>
        <v>0</v>
      </c>
      <c r="M46" s="95" t="s">
        <v>144</v>
      </c>
    </row>
    <row r="47" spans="1:13" ht="12" customHeight="1" x14ac:dyDescent="0.2">
      <c r="A47" s="209" t="s">
        <v>1150</v>
      </c>
      <c r="B47" s="100"/>
      <c r="C47" s="98" t="s">
        <v>145</v>
      </c>
      <c r="D47" s="101"/>
      <c r="E47" s="101"/>
      <c r="F47" s="101"/>
      <c r="G47" s="101"/>
      <c r="H47" s="101"/>
      <c r="I47" s="547">
        <v>122336</v>
      </c>
      <c r="J47" s="549">
        <f>ActualTotalFederalAndStateProjects</f>
        <v>131908</v>
      </c>
      <c r="K47" s="547">
        <v>120206</v>
      </c>
      <c r="L47" s="550">
        <f t="shared" si="4"/>
        <v>9.7299999999999998E-2</v>
      </c>
      <c r="M47" s="95" t="s">
        <v>145</v>
      </c>
    </row>
    <row r="48" spans="1:13" ht="12" customHeight="1" x14ac:dyDescent="0.2">
      <c r="A48" s="96" t="s">
        <v>146</v>
      </c>
      <c r="B48" s="97"/>
      <c r="C48" s="98" t="s">
        <v>147</v>
      </c>
      <c r="D48" s="101"/>
      <c r="E48" s="101"/>
      <c r="F48" s="101"/>
      <c r="G48" s="101"/>
      <c r="H48" s="101"/>
      <c r="I48" s="549">
        <f>SUM(I42:I47)</f>
        <v>3500385</v>
      </c>
      <c r="J48" s="549">
        <f>SUM(J42:J47)</f>
        <v>4831656</v>
      </c>
      <c r="K48" s="549">
        <f>SUM(K42:K47)</f>
        <v>5155543</v>
      </c>
      <c r="L48" s="550">
        <f t="shared" si="4"/>
        <v>-6.2799999999999995E-2</v>
      </c>
      <c r="M48" s="95" t="s">
        <v>147</v>
      </c>
    </row>
  </sheetData>
  <sheetProtection formatCells="0" formatColumns="0" formatRows="0"/>
  <mergeCells count="10">
    <mergeCell ref="L26:L27"/>
    <mergeCell ref="L24:L25"/>
    <mergeCell ref="L21:L22"/>
    <mergeCell ref="B1:C1"/>
    <mergeCell ref="L3:L5"/>
    <mergeCell ref="I3:K3"/>
    <mergeCell ref="N10:AF10"/>
    <mergeCell ref="N9:AF9"/>
    <mergeCell ref="L6:L7"/>
    <mergeCell ref="L8:L9"/>
  </mergeCells>
  <conditionalFormatting sqref="J10">
    <cfRule type="expression" dxfId="77" priority="1" stopIfTrue="1">
      <formula>$N$10&lt;&gt;""</formula>
    </cfRule>
  </conditionalFormatting>
  <conditionalFormatting sqref="N9:AF9">
    <cfRule type="expression" dxfId="76" priority="11" stopIfTrue="1">
      <formula>$N$9&lt;&gt;""</formula>
    </cfRule>
  </conditionalFormatting>
  <conditionalFormatting sqref="N10:AF10">
    <cfRule type="expression" dxfId="75" priority="10" stopIfTrue="1">
      <formula>$N$10&lt;&gt;""</formula>
    </cfRule>
  </conditionalFormatting>
  <hyperlinks>
    <hyperlink ref="A4" location="ExpensesPage2" display="Expenses" xr:uid="{00000000-0004-0000-0300-000000000000}"/>
    <hyperlink ref="A47:B47" location="FederalAndStateProjectsPage2" display="Federal and State Projects (from page 9, line 30)" xr:uid="{00000000-0004-0000-0300-000001000000}"/>
    <hyperlink ref="B3" location="ExpensesPage2" display="Instructions" xr:uid="{F6A47C96-D511-4C4A-A580-7CD476A10413}"/>
  </hyperlinks>
  <pageMargins left="0.7" right="0.7" top="0.75" bottom="0.75" header="0.3" footer="0.3"/>
  <pageSetup scale="76" orientation="landscape" r:id="rId1"/>
  <headerFooter>
    <oddFooter>&amp;LRev. 8/25 Arizona Department of Education and Auditor General&amp;CFY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1"/>
  <sheetViews>
    <sheetView showGridLines="0" workbookViewId="0">
      <selection activeCell="J8" sqref="J8"/>
    </sheetView>
  </sheetViews>
  <sheetFormatPr defaultColWidth="9.33203125" defaultRowHeight="12.75" x14ac:dyDescent="0.2"/>
  <cols>
    <col min="1" max="1" width="1.83203125" customWidth="1"/>
    <col min="2" max="2" width="2" customWidth="1"/>
    <col min="3" max="3" width="25.83203125" customWidth="1"/>
    <col min="4" max="4" width="17.1640625" customWidth="1"/>
    <col min="5" max="5" width="4.33203125" customWidth="1"/>
    <col min="6" max="6" width="19.83203125" customWidth="1"/>
    <col min="7" max="12" width="16" customWidth="1"/>
    <col min="13" max="13" width="79.6640625" customWidth="1"/>
    <col min="15" max="15" width="8.83203125" customWidth="1"/>
  </cols>
  <sheetData>
    <row r="1" spans="1:13" x14ac:dyDescent="0.2">
      <c r="A1" s="546" t="s">
        <v>0</v>
      </c>
      <c r="D1" s="1" t="str">
        <f>'Cover Page'!D1</f>
        <v>ASU Preparatory Academy- Polytechnic MS</v>
      </c>
      <c r="E1" s="564"/>
      <c r="F1" s="59" t="s">
        <v>148</v>
      </c>
      <c r="G1" s="1" t="str">
        <f>'Cover Page'!M1</f>
        <v>Maricopa</v>
      </c>
      <c r="H1" s="4"/>
      <c r="I1" s="59" t="s">
        <v>2</v>
      </c>
      <c r="J1" s="2" t="str">
        <f>'Cover Page'!R1</f>
        <v>078251000</v>
      </c>
    </row>
    <row r="4" spans="1:13" x14ac:dyDescent="0.2">
      <c r="A4" s="73"/>
      <c r="B4" s="109"/>
      <c r="C4" s="110"/>
      <c r="D4" s="110"/>
      <c r="E4" s="111"/>
      <c r="F4" s="71"/>
      <c r="G4" s="567" t="s">
        <v>149</v>
      </c>
      <c r="H4" s="567" t="s">
        <v>150</v>
      </c>
      <c r="I4" s="80"/>
      <c r="J4" s="831" t="s">
        <v>87</v>
      </c>
      <c r="K4" s="832"/>
      <c r="L4" s="112"/>
    </row>
    <row r="5" spans="1:13" x14ac:dyDescent="0.2">
      <c r="A5" s="113" t="s">
        <v>89</v>
      </c>
      <c r="C5" s="114"/>
      <c r="D5" s="114"/>
      <c r="E5" s="115"/>
      <c r="F5" s="78" t="s">
        <v>90</v>
      </c>
      <c r="G5" s="76" t="s">
        <v>91</v>
      </c>
      <c r="H5" s="78" t="s">
        <v>92</v>
      </c>
      <c r="I5" s="116" t="s">
        <v>93</v>
      </c>
      <c r="J5" s="78"/>
      <c r="K5" s="78"/>
      <c r="L5" s="117"/>
    </row>
    <row r="6" spans="1:13" x14ac:dyDescent="0.2">
      <c r="A6" s="90"/>
      <c r="B6" s="6"/>
      <c r="C6" s="118"/>
      <c r="D6" s="118"/>
      <c r="E6" s="119"/>
      <c r="F6" s="83">
        <v>6100</v>
      </c>
      <c r="G6" s="572">
        <v>6200</v>
      </c>
      <c r="H6" s="83" t="s">
        <v>97</v>
      </c>
      <c r="I6" s="83">
        <v>6600</v>
      </c>
      <c r="J6" s="83" t="s">
        <v>98</v>
      </c>
      <c r="K6" s="83" t="s">
        <v>23</v>
      </c>
      <c r="L6" s="117"/>
    </row>
    <row r="7" spans="1:13" x14ac:dyDescent="0.2">
      <c r="A7" s="556" t="s">
        <v>151</v>
      </c>
      <c r="B7" s="557"/>
      <c r="C7" s="557"/>
      <c r="D7" s="557"/>
      <c r="E7" s="120"/>
      <c r="F7" s="80"/>
      <c r="G7" s="80"/>
      <c r="H7" s="80"/>
      <c r="I7" s="80"/>
      <c r="J7" s="80"/>
      <c r="K7" s="80"/>
      <c r="L7" s="86"/>
    </row>
    <row r="8" spans="1:13" x14ac:dyDescent="0.2">
      <c r="A8" s="121"/>
      <c r="B8" s="114"/>
      <c r="C8" t="s">
        <v>152</v>
      </c>
      <c r="D8" s="114"/>
      <c r="E8" s="122" t="s">
        <v>24</v>
      </c>
      <c r="F8" s="554">
        <f>SUMIFS('Accounting data'!$G$2:$G$37000,'Accounting data'!$H$2:$H$37000,"1010*",'Accounting data'!$J$2:$J$37000,"1*",'Accounting data'!$K$2:$K$37000,"61*")</f>
        <v>236748</v>
      </c>
      <c r="G8" s="554">
        <f>SUMIFS('Accounting data'!$G$2:$G$37000,'Accounting data'!$H$2:$H$37000,"1010*",'Accounting data'!$J$2:$J$37000,"1*",'Accounting data'!$K$2:$K$37000,"62*")</f>
        <v>47160</v>
      </c>
      <c r="H8" s="554">
        <f>SUMIFS('Accounting data'!$G$2:$G$37000,'Accounting data'!$H$2:$H$37000,"1010*",'Accounting data'!$J$2:$J$37000,"1*",'Accounting data'!$K$2:$K$37000,"63*")</f>
        <v>0</v>
      </c>
      <c r="I8" s="554">
        <f>SUMIFS('Accounting data'!$G$2:$G$37000,'Accounting data'!$H$2:$H$37000,"1010*",'Accounting data'!$J$2:$J$37000,"1*",'Accounting data'!$K$2:$K$37000,"66*")</f>
        <v>0</v>
      </c>
      <c r="J8" s="553">
        <v>130135</v>
      </c>
      <c r="K8" s="554">
        <f>SUM(F8:I8)</f>
        <v>283908</v>
      </c>
      <c r="L8" s="86"/>
    </row>
    <row r="9" spans="1:13" x14ac:dyDescent="0.2">
      <c r="A9" s="121"/>
      <c r="B9" s="114"/>
      <c r="C9" t="s">
        <v>153</v>
      </c>
      <c r="D9" s="114"/>
      <c r="E9" s="122" t="s">
        <v>26</v>
      </c>
      <c r="F9" s="549">
        <f>SUMIFS('Accounting data'!$G$2:$G$37000,'Accounting data'!$H$2:$H$37000,"1010*",'Accounting data'!$J$2:$J$37000,"21*",'Accounting data'!$K$2:$K$37000,"61*")</f>
        <v>14250</v>
      </c>
      <c r="G9" s="549">
        <f>SUMIFS('Accounting data'!$G$2:$G$37000,'Accounting data'!$H$2:$H$37000,"1010*",'Accounting data'!$J$2:$J$37000,"21*",'Accounting data'!$K$2:$K$37000,"62*")</f>
        <v>2839</v>
      </c>
      <c r="H9" s="549">
        <f>SUMIFS('Accounting data'!$G$2:$G$37000,'Accounting data'!$H$2:$H$37000,"1010*",'Accounting data'!$J$2:$J$37000,"21*",'Accounting data'!$K$2:$K$37000,"63*")</f>
        <v>0</v>
      </c>
      <c r="I9" s="549">
        <f>SUMIFS('Accounting data'!$G$2:$G$37000,'Accounting data'!$H$2:$H$37000,"1010*",'Accounting data'!$J$2:$J$37000,"21*",'Accounting data'!$K$2:$K$37000,"66*")</f>
        <v>0</v>
      </c>
      <c r="J9" s="547">
        <v>0</v>
      </c>
      <c r="K9" s="549">
        <f t="shared" ref="K9:K13" si="0">SUM(F9:I9)</f>
        <v>17089</v>
      </c>
      <c r="L9" s="86"/>
    </row>
    <row r="10" spans="1:13" x14ac:dyDescent="0.2">
      <c r="A10" s="121"/>
      <c r="B10" s="114"/>
      <c r="C10" t="s">
        <v>154</v>
      </c>
      <c r="D10" s="114"/>
      <c r="E10" s="122" t="s">
        <v>28</v>
      </c>
      <c r="F10" s="549">
        <f>SUMIFS('Accounting data'!$G$2:$G$37000,'Accounting data'!$H$2:$H$37000,"1010*",'Accounting data'!$J$2:$J$37000,"22*",'Accounting data'!$K$2:$K$37000,"61*")</f>
        <v>0</v>
      </c>
      <c r="G10" s="549">
        <f>SUMIFS('Accounting data'!$G$2:$G$37000,'Accounting data'!$H$2:$H$37000,"1010*",'Accounting data'!$J$2:$J$37000,"22*",'Accounting data'!$K$2:$K$37000,"62*")</f>
        <v>0</v>
      </c>
      <c r="H10" s="549">
        <f>SUMIFS('Accounting data'!$G$2:$G$37000,'Accounting data'!$H$2:$H$37000,"1010*",'Accounting data'!$J$2:$J$37000,"22*",'Accounting data'!$K$2:$K$37000,"63*")</f>
        <v>0</v>
      </c>
      <c r="I10" s="549">
        <f>SUMIFS('Accounting data'!$G$2:$G$37000,'Accounting data'!$H$2:$H$37000,"1010*",'Accounting data'!$J$2:$J$37000,"22*",'Accounting data'!$K$2:$K$37000,"66*")</f>
        <v>0</v>
      </c>
      <c r="J10" s="547">
        <v>0</v>
      </c>
      <c r="K10" s="549">
        <f t="shared" si="0"/>
        <v>0</v>
      </c>
      <c r="L10" s="86"/>
    </row>
    <row r="11" spans="1:13" x14ac:dyDescent="0.2">
      <c r="A11" s="121"/>
      <c r="B11" s="114"/>
      <c r="C11" s="209" t="s">
        <v>155</v>
      </c>
      <c r="D11" s="123"/>
      <c r="E11" s="122" t="s">
        <v>31</v>
      </c>
      <c r="F11" s="101"/>
      <c r="G11" s="101"/>
      <c r="H11" s="549">
        <f>SUMIFS('Accounting data'!$G$2:$G$37000,'Accounting data'!$H$2:$H$37000,"1010*",'Accounting data'!$J$2:$J$37000,"23*",'Accounting data'!$K$2:$K$37000,"63*")</f>
        <v>0</v>
      </c>
      <c r="I11" s="101"/>
      <c r="J11" s="547">
        <v>0</v>
      </c>
      <c r="K11" s="549">
        <f t="shared" si="0"/>
        <v>0</v>
      </c>
      <c r="L11" s="86"/>
    </row>
    <row r="12" spans="1:13" ht="12.75" customHeight="1" x14ac:dyDescent="0.2">
      <c r="A12" s="124"/>
      <c r="B12" s="118"/>
      <c r="C12" s="649" t="s">
        <v>156</v>
      </c>
      <c r="D12" s="125"/>
      <c r="E12" s="126" t="s">
        <v>33</v>
      </c>
      <c r="F12" s="549">
        <f>SUMIFS('Accounting data'!$G$2:$G$37000,'Accounting data'!$H$2:$H$37000,"1010*",'Accounting data'!$J$2:$J$37000,"33*",'Accounting data'!$K$2:$K$37000,"61*")</f>
        <v>0</v>
      </c>
      <c r="G12" s="549">
        <f>SUMIFS('Accounting data'!$G$2:$G$37000,'Accounting data'!$H$2:$H$37000,"1010*",'Accounting data'!$J$2:$J$37000,"33*",'Accounting data'!$K$2:$K$37000,"62*")</f>
        <v>0</v>
      </c>
      <c r="H12" s="549">
        <f>SUMIFS('Accounting data'!$G$2:$G$37000,'Accounting data'!$H$2:$H$37000,"1010*",'Accounting data'!$J$2:$J$37000,"33*",'Accounting data'!$K$2:$K$37000,"63*")</f>
        <v>0</v>
      </c>
      <c r="I12" s="101"/>
      <c r="J12" s="547">
        <v>0</v>
      </c>
      <c r="K12" s="549">
        <f t="shared" si="0"/>
        <v>0</v>
      </c>
      <c r="L12" s="86"/>
      <c r="M12" s="833" t="str">
        <f>IF('Page 2'!J48=0,"",IF(OR(K13&lt;=0),"The Charter did not report any expenses for Classroom Site Project. If the Charter did not have any expense, verify by checking the box in A14 on the Cover Page.",""))</f>
        <v/>
      </c>
    </row>
    <row r="13" spans="1:13" ht="12" customHeight="1" x14ac:dyDescent="0.2">
      <c r="A13" s="90" t="s">
        <v>157</v>
      </c>
      <c r="B13" s="118"/>
      <c r="C13" s="6"/>
      <c r="D13" s="118"/>
      <c r="E13" s="126" t="s">
        <v>35</v>
      </c>
      <c r="F13" s="549">
        <f>SUM(F8:F12)</f>
        <v>250998</v>
      </c>
      <c r="G13" s="549">
        <f>SUM(G8:G12)</f>
        <v>49999</v>
      </c>
      <c r="H13" s="549">
        <f>SUM(H8:H12)</f>
        <v>0</v>
      </c>
      <c r="I13" s="549">
        <f>SUM(I8:I12)</f>
        <v>0</v>
      </c>
      <c r="J13" s="549">
        <f>SUM(J8:J12)</f>
        <v>130135</v>
      </c>
      <c r="K13" s="549">
        <f t="shared" si="0"/>
        <v>300997</v>
      </c>
      <c r="L13" s="86"/>
      <c r="M13" s="833"/>
    </row>
    <row r="16" spans="1:13" ht="16.5" customHeight="1" x14ac:dyDescent="0.2">
      <c r="A16" s="556" t="s">
        <v>158</v>
      </c>
      <c r="B16" s="556"/>
      <c r="C16" s="557"/>
      <c r="D16" s="556"/>
      <c r="E16" s="127"/>
      <c r="F16" s="128" t="s">
        <v>98</v>
      </c>
      <c r="G16" s="578" t="s">
        <v>23</v>
      </c>
    </row>
    <row r="17" spans="1:27" x14ac:dyDescent="0.2">
      <c r="A17" s="68"/>
      <c r="B17" s="129"/>
      <c r="C17" s="69" t="s">
        <v>159</v>
      </c>
      <c r="D17" s="129"/>
      <c r="E17" s="130" t="s">
        <v>36</v>
      </c>
      <c r="F17" s="549">
        <f>'[1]Page 3'!$F$17</f>
        <v>0</v>
      </c>
      <c r="G17" s="102">
        <v>0</v>
      </c>
    </row>
    <row r="18" spans="1:27" ht="15" x14ac:dyDescent="0.2">
      <c r="A18" s="86"/>
      <c r="B18" s="545"/>
      <c r="C18" t="s">
        <v>160</v>
      </c>
      <c r="D18" s="545"/>
      <c r="E18" s="62" t="s">
        <v>38</v>
      </c>
      <c r="F18" s="549">
        <f>'[1]Page 3'!$F$18</f>
        <v>0</v>
      </c>
      <c r="G18" s="548">
        <f>SUMIFS('Accounting data'!$G$2:$G$37000,'Accounting data'!$H$2:$H$37000,"1010*",'Accounting data'!$K$2:$K$37000,"685*")</f>
        <v>0</v>
      </c>
      <c r="AA18" s="131" t="str">
        <f>IF(OR(F17="",F18="",F19=""),"yes","")</f>
        <v/>
      </c>
    </row>
    <row r="19" spans="1:27" x14ac:dyDescent="0.2">
      <c r="A19" s="90"/>
      <c r="B19" s="132"/>
      <c r="C19" s="6" t="s">
        <v>161</v>
      </c>
      <c r="D19" s="132"/>
      <c r="E19" s="133" t="s">
        <v>40</v>
      </c>
      <c r="F19" s="549">
        <f>'[1]Page 3'!$F$19</f>
        <v>0</v>
      </c>
      <c r="G19" s="102">
        <v>0</v>
      </c>
    </row>
    <row r="21" spans="1:27" x14ac:dyDescent="0.2">
      <c r="D21" s="6"/>
      <c r="E21" s="134"/>
      <c r="F21" s="6"/>
    </row>
    <row r="22" spans="1:27" x14ac:dyDescent="0.2">
      <c r="A22" s="135"/>
      <c r="B22" s="136"/>
      <c r="C22" s="136"/>
      <c r="D22" s="136"/>
      <c r="E22" s="136"/>
      <c r="F22" s="71" t="s">
        <v>162</v>
      </c>
    </row>
    <row r="23" spans="1:27" x14ac:dyDescent="0.2">
      <c r="A23" s="137" t="s">
        <v>163</v>
      </c>
      <c r="B23" s="138"/>
      <c r="C23" s="138"/>
      <c r="D23" s="139"/>
      <c r="E23" s="134"/>
      <c r="F23" s="83">
        <v>1010</v>
      </c>
    </row>
    <row r="24" spans="1:27" x14ac:dyDescent="0.2">
      <c r="A24" s="68" t="s">
        <v>164</v>
      </c>
      <c r="B24" s="69"/>
      <c r="C24" s="69"/>
      <c r="D24" s="129"/>
      <c r="E24" s="657" t="s">
        <v>42</v>
      </c>
      <c r="F24" s="547">
        <f>'[2]Page 3'!$F$30</f>
        <v>0</v>
      </c>
    </row>
    <row r="25" spans="1:27" x14ac:dyDescent="0.2">
      <c r="A25" s="209" t="s">
        <v>1251</v>
      </c>
      <c r="B25" s="209"/>
      <c r="C25" s="209"/>
      <c r="D25" s="114"/>
      <c r="E25" s="62" t="s">
        <v>44</v>
      </c>
      <c r="F25" s="51">
        <v>0</v>
      </c>
    </row>
    <row r="26" spans="1:27" x14ac:dyDescent="0.2">
      <c r="A26" s="86"/>
      <c r="B26" t="s">
        <v>165</v>
      </c>
      <c r="D26" s="114"/>
      <c r="E26" s="657" t="s">
        <v>45</v>
      </c>
      <c r="F26" s="549">
        <f>-(SUMIFS('Accounting data'!$G$2:$G$37000,'Accounting data'!$H$2:$H$37000,"1010*",'Accounting data'!$K$2:$K$37000,"3*"))</f>
        <v>300997</v>
      </c>
    </row>
    <row r="27" spans="1:27" x14ac:dyDescent="0.2">
      <c r="A27" s="86"/>
      <c r="B27" t="s">
        <v>166</v>
      </c>
      <c r="D27" s="114"/>
      <c r="E27" s="657" t="s">
        <v>47</v>
      </c>
      <c r="F27" s="549">
        <f>-(SUMIFS('Accounting data'!$G$2:$G$37000,'Accounting data'!$H$2:$H$37000,"1010*",'Accounting data'!$K$2:$K$37000,"15*"))</f>
        <v>0</v>
      </c>
    </row>
    <row r="28" spans="1:27" x14ac:dyDescent="0.2">
      <c r="A28" s="86" t="s">
        <v>1302</v>
      </c>
      <c r="D28" s="114"/>
      <c r="E28" s="657" t="s">
        <v>49</v>
      </c>
      <c r="F28" s="549">
        <f>F26+F27</f>
        <v>300997</v>
      </c>
    </row>
    <row r="29" spans="1:27" x14ac:dyDescent="0.2">
      <c r="A29" s="86" t="s">
        <v>1303</v>
      </c>
      <c r="D29" s="114"/>
      <c r="E29" s="657" t="s">
        <v>51</v>
      </c>
      <c r="F29" s="549">
        <f>IF(F25="",F24,F25)+F28</f>
        <v>300997</v>
      </c>
    </row>
    <row r="30" spans="1:27" x14ac:dyDescent="0.2">
      <c r="A30" s="86" t="s">
        <v>1304</v>
      </c>
      <c r="D30" s="114"/>
      <c r="E30" s="657" t="s">
        <v>53</v>
      </c>
      <c r="F30" s="549">
        <f>K13+G17+G18+G19</f>
        <v>300997</v>
      </c>
    </row>
    <row r="31" spans="1:27" x14ac:dyDescent="0.2">
      <c r="A31" s="90" t="s">
        <v>1305</v>
      </c>
      <c r="B31" s="6"/>
      <c r="C31" s="6"/>
      <c r="D31" s="118"/>
      <c r="E31" s="670" t="s">
        <v>55</v>
      </c>
      <c r="F31" s="597">
        <f>F29-F30</f>
        <v>0</v>
      </c>
    </row>
  </sheetData>
  <mergeCells count="2">
    <mergeCell ref="J4:K4"/>
    <mergeCell ref="M12:M13"/>
  </mergeCells>
  <conditionalFormatting sqref="F25">
    <cfRule type="containsBlanks" dxfId="74" priority="1">
      <formula>LEN(TRIM(F25))=0</formula>
    </cfRule>
  </conditionalFormatting>
  <conditionalFormatting sqref="F13:I13">
    <cfRule type="expression" dxfId="73" priority="5" stopIfTrue="1">
      <formula>$M$12&lt;&gt;""</formula>
    </cfRule>
  </conditionalFormatting>
  <conditionalFormatting sqref="G17">
    <cfRule type="containsBlanks" dxfId="72" priority="3">
      <formula>LEN(TRIM(G17))=0</formula>
    </cfRule>
  </conditionalFormatting>
  <conditionalFormatting sqref="G19">
    <cfRule type="containsBlanks" dxfId="71" priority="2">
      <formula>LEN(TRIM(G19))=0</formula>
    </cfRule>
  </conditionalFormatting>
  <conditionalFormatting sqref="K13">
    <cfRule type="expression" dxfId="70" priority="4" stopIfTrue="1">
      <formula>$M$12&lt;&gt;""</formula>
    </cfRule>
  </conditionalFormatting>
  <conditionalFormatting sqref="M12">
    <cfRule type="expression" dxfId="69" priority="9" stopIfTrue="1">
      <formula>$M$12&lt;&gt;""</formula>
    </cfRule>
  </conditionalFormatting>
  <hyperlinks>
    <hyperlink ref="A7:C7" location="ClssrmSitepg3" display="Classroom Site Project 1010" xr:uid="{00000000-0004-0000-0400-000000000000}"/>
    <hyperlink ref="C11" location="CSPlines4914" display="2300 Support services—general administration" xr:uid="{00000000-0004-0000-0400-000001000000}"/>
    <hyperlink ref="C12" location="CSPlines122615" display="3300 Community services operation" xr:uid="{00000000-0004-0000-0400-000002000000}"/>
    <hyperlink ref="A16:D16" location="CSPPropertyPayments" display="Classroom Site Project 1010 property payments" xr:uid="{00000000-0004-0000-0400-000003000000}"/>
    <hyperlink ref="A25:C25" location="Page3AdjBeginProjBal" display="Adjusted beginning project balance" xr:uid="{F6C61C6D-C42F-43D9-9C3D-10CF071E938E}"/>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dimension ref="A1:AA30"/>
  <sheetViews>
    <sheetView showGridLines="0" workbookViewId="0">
      <selection activeCell="G27" sqref="G27"/>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46" t="s">
        <v>0</v>
      </c>
      <c r="C1" s="813" t="str">
        <f>'Cover Page'!D1</f>
        <v>ASU Preparatory Academy- Polytechnic MS</v>
      </c>
      <c r="D1" s="813"/>
      <c r="F1" s="4"/>
      <c r="G1" s="59" t="s">
        <v>1</v>
      </c>
      <c r="H1" s="813" t="str">
        <f>'Cover Page'!M1</f>
        <v>Maricopa</v>
      </c>
      <c r="I1" s="813"/>
      <c r="J1" s="4"/>
      <c r="K1" s="59"/>
      <c r="L1" s="59" t="s">
        <v>2</v>
      </c>
      <c r="M1" s="2" t="str">
        <f>'Cover Page'!R1</f>
        <v>078251000</v>
      </c>
    </row>
    <row r="2" spans="1:27" ht="12.75" customHeight="1" x14ac:dyDescent="0.2">
      <c r="A2" s="4"/>
      <c r="B2" s="4"/>
      <c r="C2" s="4"/>
      <c r="D2" s="4"/>
      <c r="E2" s="4"/>
      <c r="F2" s="4"/>
      <c r="G2" s="4"/>
      <c r="H2" s="4"/>
      <c r="I2" s="4"/>
      <c r="J2" s="4"/>
    </row>
    <row r="3" spans="1:27" ht="12.75" customHeight="1" x14ac:dyDescent="0.2">
      <c r="A3" s="140"/>
      <c r="B3" s="69"/>
      <c r="C3" s="69"/>
      <c r="D3" s="69"/>
      <c r="E3" s="69"/>
      <c r="F3" s="140" t="s">
        <v>20</v>
      </c>
      <c r="G3" s="567" t="s">
        <v>167</v>
      </c>
      <c r="H3" s="831" t="s">
        <v>87</v>
      </c>
      <c r="I3" s="832"/>
      <c r="J3" s="4"/>
    </row>
    <row r="4" spans="1:27" ht="12.75" customHeight="1" x14ac:dyDescent="0.2">
      <c r="A4" s="113" t="s">
        <v>89</v>
      </c>
      <c r="F4" s="76" t="s">
        <v>168</v>
      </c>
      <c r="G4" s="78" t="s">
        <v>92</v>
      </c>
      <c r="H4" s="567"/>
      <c r="I4" s="141"/>
      <c r="J4" s="4"/>
    </row>
    <row r="5" spans="1:27" ht="12.75" customHeight="1" x14ac:dyDescent="0.2">
      <c r="A5" s="90"/>
      <c r="B5" s="6"/>
      <c r="C5" s="6"/>
      <c r="D5" s="6"/>
      <c r="E5" s="6"/>
      <c r="F5" s="76">
        <v>1000</v>
      </c>
      <c r="G5" s="78">
        <v>2000</v>
      </c>
      <c r="H5" s="83" t="s">
        <v>98</v>
      </c>
      <c r="I5" s="573" t="s">
        <v>23</v>
      </c>
      <c r="J5" s="4"/>
    </row>
    <row r="6" spans="1:27" ht="12.75" customHeight="1" x14ac:dyDescent="0.2">
      <c r="A6" s="84" t="s">
        <v>169</v>
      </c>
      <c r="B6" s="69"/>
      <c r="C6" s="69"/>
      <c r="D6" s="69"/>
      <c r="E6" s="142"/>
      <c r="F6" s="143"/>
      <c r="G6" s="143"/>
      <c r="H6" s="143"/>
      <c r="I6" s="143"/>
      <c r="J6" s="144"/>
    </row>
    <row r="7" spans="1:27" ht="12.75" customHeight="1" x14ac:dyDescent="0.2">
      <c r="A7" s="86"/>
      <c r="B7" t="s">
        <v>170</v>
      </c>
      <c r="E7" s="145">
        <v>1</v>
      </c>
      <c r="F7" s="50">
        <v>0</v>
      </c>
      <c r="G7" s="50">
        <v>0</v>
      </c>
      <c r="H7" s="554">
        <f>[1]!IIPTeacherCompensationIncreases</f>
        <v>0</v>
      </c>
      <c r="I7" s="554">
        <f>SUM(F7:G7)</f>
        <v>0</v>
      </c>
      <c r="J7" s="146">
        <v>1</v>
      </c>
      <c r="AA7" s="48" t="str">
        <f>IF(OR(F7="",F8="",F9="",F10="",G7="",G9="",G10="",G24="",G25="",G26="",G27="",G28=""),"yes","")</f>
        <v/>
      </c>
    </row>
    <row r="8" spans="1:27" ht="12.75" customHeight="1" x14ac:dyDescent="0.2">
      <c r="A8" s="86"/>
      <c r="B8" t="s">
        <v>171</v>
      </c>
      <c r="E8" s="147">
        <v>2</v>
      </c>
      <c r="F8" s="50">
        <v>0</v>
      </c>
      <c r="G8" s="148"/>
      <c r="H8" s="547">
        <f>[1]!IIPClassSizeReduction</f>
        <v>0</v>
      </c>
      <c r="I8" s="549">
        <f>SUM(F8:G8)</f>
        <v>0</v>
      </c>
      <c r="J8" s="146">
        <v>2</v>
      </c>
    </row>
    <row r="9" spans="1:27" ht="12.75" customHeight="1" x14ac:dyDescent="0.2">
      <c r="A9" s="86"/>
      <c r="B9" t="s">
        <v>172</v>
      </c>
      <c r="E9" s="147">
        <v>3</v>
      </c>
      <c r="F9" s="49">
        <v>0</v>
      </c>
      <c r="G9" s="49">
        <v>0</v>
      </c>
      <c r="H9" s="547">
        <f>[1]!IIPDropoutPreventionPrograms</f>
        <v>0</v>
      </c>
      <c r="I9" s="549">
        <f>SUM(F9:G9)</f>
        <v>0</v>
      </c>
      <c r="J9" s="146">
        <v>3</v>
      </c>
    </row>
    <row r="10" spans="1:27" ht="12.75" customHeight="1" x14ac:dyDescent="0.2">
      <c r="A10" s="86"/>
      <c r="B10" t="s">
        <v>173</v>
      </c>
      <c r="E10" s="147">
        <v>4</v>
      </c>
      <c r="F10" s="49">
        <v>25169</v>
      </c>
      <c r="G10" s="49">
        <v>0</v>
      </c>
      <c r="H10" s="547">
        <v>13597</v>
      </c>
      <c r="I10" s="549">
        <f>SUM(F10:G10)</f>
        <v>25169</v>
      </c>
      <c r="J10" s="146">
        <v>4</v>
      </c>
      <c r="K10" s="819" t="str">
        <f>IF('Page 2'!J48=0,"",IF(('Page 4'!I11=0),"If the Charter did not have any expense, verify by checking the box in A18 on the Cover Page.",""))</f>
        <v/>
      </c>
      <c r="L10" s="819"/>
      <c r="M10" s="819"/>
      <c r="N10" s="819"/>
      <c r="O10" s="819"/>
      <c r="P10" s="819"/>
      <c r="Q10" s="819"/>
      <c r="R10" s="819"/>
      <c r="S10" s="819"/>
      <c r="T10" s="819"/>
      <c r="U10" s="819"/>
      <c r="V10" s="819"/>
      <c r="W10" s="819"/>
      <c r="X10" s="819"/>
      <c r="Y10" s="819"/>
      <c r="Z10" s="819"/>
    </row>
    <row r="11" spans="1:27" ht="12.75" customHeight="1" x14ac:dyDescent="0.2">
      <c r="A11" s="90" t="s">
        <v>174</v>
      </c>
      <c r="B11" s="6"/>
      <c r="C11" s="6"/>
      <c r="D11" s="6"/>
      <c r="E11" s="149">
        <v>5</v>
      </c>
      <c r="F11" s="549">
        <f>SUM(F6:F10)</f>
        <v>25169</v>
      </c>
      <c r="G11" s="549">
        <f>SUM(G6:G10)</f>
        <v>0</v>
      </c>
      <c r="H11" s="549">
        <f>SUM(H7:H10)</f>
        <v>13597</v>
      </c>
      <c r="I11" s="549">
        <f>SUM(I7:I10)</f>
        <v>25169</v>
      </c>
      <c r="J11" s="146">
        <v>5</v>
      </c>
      <c r="K11" s="819" t="str">
        <f>IF('Page 2'!J48=0,"",IF(('Page 4'!I11&lt;&gt;'Page 2'!J44),"Total expenses for Instructional Improvement Project on line 5 should agree to the line 35 on page 2.",""))</f>
        <v/>
      </c>
      <c r="L11" s="819"/>
      <c r="M11" s="819"/>
      <c r="N11" s="819"/>
      <c r="O11" s="819"/>
      <c r="P11" s="819"/>
      <c r="Q11" s="819"/>
      <c r="R11" s="819"/>
      <c r="S11" s="819"/>
      <c r="T11" s="819"/>
      <c r="U11" s="819"/>
      <c r="V11" s="819"/>
      <c r="W11" s="819"/>
      <c r="X11" s="819"/>
      <c r="Y11" s="819"/>
      <c r="Z11" s="819"/>
    </row>
    <row r="12" spans="1:27" ht="12.75" customHeight="1" x14ac:dyDescent="0.2">
      <c r="K12" s="564"/>
    </row>
    <row r="13" spans="1:27" ht="12.75" customHeight="1" x14ac:dyDescent="0.2">
      <c r="A13" s="68"/>
      <c r="B13" s="69"/>
      <c r="C13" s="69"/>
      <c r="D13" s="69"/>
      <c r="E13" s="70"/>
      <c r="F13" s="80"/>
    </row>
    <row r="14" spans="1:27" ht="12.75" customHeight="1" x14ac:dyDescent="0.2">
      <c r="A14" s="81" t="s">
        <v>175</v>
      </c>
      <c r="B14" s="6"/>
      <c r="C14" s="6"/>
      <c r="D14" s="6"/>
      <c r="E14" s="82"/>
      <c r="F14" s="150" t="s">
        <v>23</v>
      </c>
    </row>
    <row r="15" spans="1:27" ht="12.75" customHeight="1" x14ac:dyDescent="0.2">
      <c r="A15" s="86" t="s">
        <v>164</v>
      </c>
      <c r="B15" s="4"/>
      <c r="D15" s="151"/>
      <c r="E15" s="152">
        <v>6</v>
      </c>
      <c r="F15" s="547">
        <f>[2]!AddlInstrImprProjEndBal</f>
        <v>0</v>
      </c>
      <c r="G15" s="146">
        <v>6</v>
      </c>
      <c r="I15" s="564"/>
      <c r="J15" s="564"/>
    </row>
    <row r="16" spans="1:27" ht="12.75" customHeight="1" x14ac:dyDescent="0.2">
      <c r="A16" s="663" t="s">
        <v>1251</v>
      </c>
      <c r="B16" s="662"/>
      <c r="C16" s="662"/>
      <c r="D16" s="151"/>
      <c r="E16" s="673">
        <v>7</v>
      </c>
      <c r="F16" s="51">
        <v>0</v>
      </c>
      <c r="G16" s="675">
        <v>7</v>
      </c>
      <c r="I16" s="564"/>
      <c r="J16" s="564"/>
    </row>
    <row r="17" spans="1:12" ht="12.75" customHeight="1" x14ac:dyDescent="0.2">
      <c r="A17" s="153" t="s">
        <v>165</v>
      </c>
      <c r="B17" s="26"/>
      <c r="D17" s="154"/>
      <c r="E17" s="673">
        <v>8</v>
      </c>
      <c r="F17" s="549">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25169</v>
      </c>
      <c r="G17" s="675">
        <v>8</v>
      </c>
      <c r="I17" s="564"/>
      <c r="J17" s="564"/>
    </row>
    <row r="18" spans="1:12" ht="12.75" customHeight="1" x14ac:dyDescent="0.2">
      <c r="A18" s="671" t="s">
        <v>1306</v>
      </c>
      <c r="B18" s="26"/>
      <c r="D18" s="154"/>
      <c r="E18" s="673">
        <v>9</v>
      </c>
      <c r="F18" s="549">
        <f>IF(F16="",F15,F16)+F17</f>
        <v>25169</v>
      </c>
      <c r="G18" s="675">
        <v>9</v>
      </c>
      <c r="I18" s="564"/>
      <c r="J18" s="564"/>
    </row>
    <row r="19" spans="1:12" ht="12.75" customHeight="1" x14ac:dyDescent="0.2">
      <c r="A19" s="671" t="s">
        <v>176</v>
      </c>
      <c r="D19" s="154"/>
      <c r="E19" s="673">
        <v>10</v>
      </c>
      <c r="F19" s="549">
        <f>ActualTotalInstImpExp</f>
        <v>25169</v>
      </c>
      <c r="G19" s="675">
        <v>10</v>
      </c>
      <c r="I19" s="564"/>
      <c r="J19" s="564"/>
    </row>
    <row r="20" spans="1:12" ht="12.75" customHeight="1" x14ac:dyDescent="0.2">
      <c r="A20" s="672" t="s">
        <v>1307</v>
      </c>
      <c r="B20" s="6"/>
      <c r="C20" s="6"/>
      <c r="D20" s="155"/>
      <c r="E20" s="674">
        <v>11</v>
      </c>
      <c r="F20" s="597">
        <f>F18-F19</f>
        <v>0</v>
      </c>
      <c r="G20" s="675">
        <v>11</v>
      </c>
    </row>
    <row r="21" spans="1:12" ht="12.75" customHeight="1" x14ac:dyDescent="0.2">
      <c r="A21" s="151"/>
      <c r="D21" s="151"/>
      <c r="E21" s="152"/>
      <c r="F21" s="156"/>
      <c r="G21" s="146"/>
    </row>
    <row r="22" spans="1:12" ht="12.75" customHeight="1" x14ac:dyDescent="0.2">
      <c r="A22" s="68"/>
      <c r="B22" s="69"/>
      <c r="C22" s="69"/>
      <c r="D22" s="157"/>
      <c r="E22" s="158"/>
      <c r="F22" s="159"/>
      <c r="G22" s="159"/>
      <c r="H22" s="146"/>
    </row>
    <row r="23" spans="1:12" ht="12.75" customHeight="1" x14ac:dyDescent="0.2">
      <c r="A23" s="834" t="s">
        <v>177</v>
      </c>
      <c r="B23" s="834"/>
      <c r="C23" s="834"/>
      <c r="D23" s="834"/>
      <c r="E23" s="160"/>
      <c r="F23" s="161" t="s">
        <v>98</v>
      </c>
      <c r="G23" s="161" t="s">
        <v>23</v>
      </c>
      <c r="H23" s="162"/>
    </row>
    <row r="24" spans="1:12" ht="12.75" customHeight="1" x14ac:dyDescent="0.2">
      <c r="A24" s="163"/>
      <c r="B24" s="69" t="s">
        <v>178</v>
      </c>
      <c r="C24" s="69"/>
      <c r="D24" s="164"/>
      <c r="E24" s="165">
        <v>1</v>
      </c>
      <c r="F24" s="166"/>
      <c r="G24" s="51">
        <v>79329</v>
      </c>
      <c r="H24" s="167">
        <v>1</v>
      </c>
    </row>
    <row r="25" spans="1:12" ht="12.75" customHeight="1" x14ac:dyDescent="0.2">
      <c r="A25" s="168"/>
      <c r="B25" t="s">
        <v>179</v>
      </c>
      <c r="D25" s="154"/>
      <c r="E25" s="169">
        <v>2</v>
      </c>
      <c r="F25" s="166"/>
      <c r="G25" s="51">
        <v>0</v>
      </c>
      <c r="H25" s="167">
        <v>2</v>
      </c>
    </row>
    <row r="26" spans="1:12" ht="12.75" customHeight="1" x14ac:dyDescent="0.2">
      <c r="A26" s="168"/>
      <c r="B26" t="s">
        <v>180</v>
      </c>
      <c r="D26" s="154"/>
      <c r="E26" s="169">
        <v>3</v>
      </c>
      <c r="F26" s="166"/>
      <c r="G26" s="51">
        <v>0</v>
      </c>
      <c r="H26" s="167">
        <v>3</v>
      </c>
    </row>
    <row r="27" spans="1:12" ht="12.75" customHeight="1" x14ac:dyDescent="0.2">
      <c r="A27" s="168"/>
      <c r="B27" t="s">
        <v>181</v>
      </c>
      <c r="D27" s="154"/>
      <c r="E27" s="169">
        <v>4</v>
      </c>
      <c r="F27" s="166"/>
      <c r="G27" s="51">
        <v>0</v>
      </c>
      <c r="H27" s="167">
        <v>4</v>
      </c>
    </row>
    <row r="28" spans="1:12" ht="12.75" customHeight="1" x14ac:dyDescent="0.2">
      <c r="A28" s="168"/>
      <c r="B28" t="s">
        <v>182</v>
      </c>
      <c r="D28" s="154"/>
      <c r="E28" s="169">
        <v>5</v>
      </c>
      <c r="F28" s="166"/>
      <c r="G28" s="51">
        <v>0</v>
      </c>
      <c r="H28" s="167">
        <v>5</v>
      </c>
    </row>
    <row r="29" spans="1:12" ht="12.75" customHeight="1" x14ac:dyDescent="0.2">
      <c r="A29" s="90" t="s">
        <v>183</v>
      </c>
      <c r="B29" s="6"/>
      <c r="C29" s="6"/>
      <c r="D29" s="6"/>
      <c r="E29" s="170">
        <v>6</v>
      </c>
      <c r="F29" s="547">
        <v>72900</v>
      </c>
      <c r="G29" s="549">
        <f>SUM(G24:G28)</f>
        <v>79329</v>
      </c>
      <c r="H29" s="167">
        <v>6</v>
      </c>
      <c r="I29" s="4"/>
      <c r="J29" s="4"/>
      <c r="K29" s="4"/>
      <c r="L29" s="4"/>
    </row>
    <row r="30" spans="1:12" ht="12.75" customHeight="1" x14ac:dyDescent="0.2">
      <c r="F30" s="171"/>
      <c r="G30" s="171"/>
      <c r="H30" s="171"/>
      <c r="I30" s="171"/>
      <c r="J30" s="171"/>
      <c r="K30" s="172"/>
      <c r="L30" s="171"/>
    </row>
  </sheetData>
  <sheetProtection formatCells="0" formatColumns="0" formatRows="0"/>
  <mergeCells count="6">
    <mergeCell ref="A23:D23"/>
    <mergeCell ref="K11:Z11"/>
    <mergeCell ref="H1:I1"/>
    <mergeCell ref="H3:I3"/>
    <mergeCell ref="C1:D1"/>
    <mergeCell ref="K10:Z10"/>
  </mergeCells>
  <conditionalFormatting sqref="F16">
    <cfRule type="containsBlanks" dxfId="68" priority="1">
      <formula>LEN(TRIM(F16))=0</formula>
    </cfRule>
  </conditionalFormatting>
  <conditionalFormatting sqref="G24:G28">
    <cfRule type="expression" dxfId="67" priority="5" stopIfTrue="1">
      <formula>G24=""</formula>
    </cfRule>
  </conditionalFormatting>
  <conditionalFormatting sqref="G7:I7 F7:F10 G9:G10">
    <cfRule type="expression" dxfId="66" priority="6" stopIfTrue="1">
      <formula>F7=""</formula>
    </cfRule>
  </conditionalFormatting>
  <conditionalFormatting sqref="K10:Z10">
    <cfRule type="expression" dxfId="65" priority="2" stopIfTrue="1">
      <formula>$K$10&lt;&gt;""</formula>
    </cfRule>
    <cfRule type="expression" dxfId="64" priority="3" stopIfTrue="1">
      <formula>"K10&lt;&gt;"""""</formula>
    </cfRule>
  </conditionalFormatting>
  <conditionalFormatting sqref="K11:Z11">
    <cfRule type="expression" dxfId="63" priority="7" stopIfTrue="1">
      <formula>$K$11&lt;&gt;""</formula>
    </cfRule>
  </conditionalFormatting>
  <hyperlinks>
    <hyperlink ref="A23:D23" location="ArizonaIndustryCredentialsIncentive" display="Arizona Industry Credentials Incentive Project—detailed expenses" xr:uid="{00000000-0004-0000-0500-000000000000}"/>
    <hyperlink ref="A16:C16" location="Page4AdjBeginProjBal" display="Adjusted beginning project balance" xr:uid="{E0142B6F-FF82-46B0-BD92-45EF6A8673A6}"/>
  </hyperlinks>
  <pageMargins left="0.7" right="0.7" top="0.75" bottom="0.75" header="0.3" footer="0.3"/>
  <pageSetup scale="77" orientation="landscape" r:id="rId1"/>
  <headerFooter>
    <oddFooter>&amp;LRev. 8/25 Arizona Department of Education and Auditor General&amp;CFY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Q48"/>
  <sheetViews>
    <sheetView showGridLines="0" workbookViewId="0">
      <selection activeCell="G49" sqref="G49"/>
    </sheetView>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10" width="12.83203125" customWidth="1"/>
    <col min="11" max="11" width="14.83203125" customWidth="1"/>
    <col min="12" max="16" width="12.83203125" customWidth="1"/>
    <col min="17" max="17" width="3.6640625" bestFit="1" customWidth="1"/>
  </cols>
  <sheetData>
    <row r="1" spans="1:17" ht="12" customHeight="1" x14ac:dyDescent="0.2">
      <c r="A1" s="546" t="s">
        <v>0</v>
      </c>
      <c r="D1" s="813" t="str">
        <f>'Cover Page'!D1</f>
        <v>ASU Preparatory Academy- Polytechnic MS</v>
      </c>
      <c r="E1" s="813"/>
      <c r="F1" s="4"/>
      <c r="G1" s="4"/>
      <c r="H1" s="4"/>
      <c r="J1" s="59" t="s">
        <v>1</v>
      </c>
      <c r="K1" s="813" t="str">
        <f>'Cover Page'!M1</f>
        <v>Maricopa</v>
      </c>
      <c r="L1" s="813"/>
      <c r="N1" s="59" t="s">
        <v>2</v>
      </c>
      <c r="O1" s="59"/>
      <c r="P1" s="2" t="str">
        <f>'Cover Page'!R1</f>
        <v>078251000</v>
      </c>
    </row>
    <row r="2" spans="1:17" ht="12" customHeight="1" x14ac:dyDescent="0.2">
      <c r="A2" s="66"/>
      <c r="B2" s="66"/>
      <c r="C2" s="66"/>
      <c r="D2" s="66"/>
      <c r="E2" s="66"/>
      <c r="F2" s="66"/>
      <c r="G2" s="66"/>
      <c r="H2" s="66"/>
      <c r="I2" s="66"/>
      <c r="J2" s="66"/>
      <c r="K2" s="66"/>
    </row>
    <row r="3" spans="1:17" ht="12" customHeight="1" x14ac:dyDescent="0.2">
      <c r="A3" s="84"/>
      <c r="B3" s="69"/>
      <c r="C3" s="69"/>
      <c r="D3" s="69"/>
      <c r="E3" s="70"/>
      <c r="F3" s="174" t="s">
        <v>184</v>
      </c>
      <c r="G3" s="851" t="s">
        <v>1253</v>
      </c>
      <c r="H3" s="70"/>
      <c r="I3" s="567"/>
      <c r="J3" s="175" t="s">
        <v>185</v>
      </c>
      <c r="K3" s="567" t="s">
        <v>86</v>
      </c>
      <c r="L3" s="70"/>
      <c r="M3" s="80"/>
      <c r="N3" s="831" t="s">
        <v>186</v>
      </c>
      <c r="O3" s="846"/>
      <c r="P3" s="567" t="s">
        <v>187</v>
      </c>
    </row>
    <row r="4" spans="1:17" ht="12" customHeight="1" x14ac:dyDescent="0.2">
      <c r="A4" s="92" t="s">
        <v>188</v>
      </c>
      <c r="E4" s="75"/>
      <c r="F4" s="78" t="s">
        <v>189</v>
      </c>
      <c r="G4" s="852"/>
      <c r="H4" s="141" t="s">
        <v>23</v>
      </c>
      <c r="I4" s="78" t="s">
        <v>90</v>
      </c>
      <c r="J4" s="76" t="s">
        <v>91</v>
      </c>
      <c r="K4" s="78" t="s">
        <v>92</v>
      </c>
      <c r="L4" s="141" t="s">
        <v>93</v>
      </c>
      <c r="M4" s="78" t="s">
        <v>94</v>
      </c>
      <c r="N4" s="176"/>
      <c r="P4" s="78" t="s">
        <v>189</v>
      </c>
    </row>
    <row r="5" spans="1:17" ht="12" customHeight="1" x14ac:dyDescent="0.2">
      <c r="A5" s="90"/>
      <c r="B5" s="6"/>
      <c r="C5" s="6"/>
      <c r="D5" s="6"/>
      <c r="E5" s="177"/>
      <c r="F5" s="83" t="s">
        <v>190</v>
      </c>
      <c r="G5" s="853"/>
      <c r="H5" s="178" t="s">
        <v>191</v>
      </c>
      <c r="I5" s="83">
        <v>6100</v>
      </c>
      <c r="J5" s="572">
        <v>6200</v>
      </c>
      <c r="K5" s="83" t="s">
        <v>97</v>
      </c>
      <c r="L5" s="573">
        <v>6600</v>
      </c>
      <c r="M5" s="83">
        <v>6800</v>
      </c>
      <c r="N5" s="179" t="s">
        <v>98</v>
      </c>
      <c r="O5" s="180" t="s">
        <v>23</v>
      </c>
      <c r="P5" s="83" t="s">
        <v>190</v>
      </c>
    </row>
    <row r="6" spans="1:17" ht="11.25" customHeight="1" x14ac:dyDescent="0.2">
      <c r="A6" s="84" t="s">
        <v>192</v>
      </c>
      <c r="B6" s="69"/>
      <c r="C6" s="69"/>
      <c r="D6" s="69"/>
      <c r="F6" s="843"/>
      <c r="G6" s="568"/>
      <c r="H6" s="843"/>
      <c r="I6" s="843"/>
      <c r="J6" s="843"/>
      <c r="K6" s="843"/>
      <c r="L6" s="843"/>
      <c r="M6" s="843"/>
      <c r="N6" s="843"/>
      <c r="O6" s="568"/>
      <c r="P6" s="843"/>
    </row>
    <row r="7" spans="1:17" ht="11.25" customHeight="1" x14ac:dyDescent="0.2">
      <c r="A7" s="113" t="s">
        <v>165</v>
      </c>
      <c r="E7" s="181"/>
      <c r="F7" s="844"/>
      <c r="G7" s="643"/>
      <c r="H7" s="844"/>
      <c r="I7" s="844"/>
      <c r="J7" s="844"/>
      <c r="K7" s="844"/>
      <c r="L7" s="844"/>
      <c r="M7" s="844"/>
      <c r="N7" s="844"/>
      <c r="O7" s="569"/>
      <c r="P7" s="844"/>
    </row>
    <row r="8" spans="1:17" ht="12" customHeight="1" x14ac:dyDescent="0.2">
      <c r="A8" s="113"/>
      <c r="B8" t="s">
        <v>193</v>
      </c>
      <c r="E8" s="181">
        <v>1</v>
      </c>
      <c r="F8" s="182"/>
      <c r="G8" s="182"/>
      <c r="H8" s="549">
        <f>-(SUMIFS('Accounting data'!$G$2:$G$37000,'Accounting data'!$H$2:$H$37000,"1071*",'Accounting data'!$K$2:$K$37000,"32*"))</f>
        <v>0</v>
      </c>
      <c r="I8" s="182"/>
      <c r="J8" s="182"/>
      <c r="K8" s="182"/>
      <c r="L8" s="182"/>
      <c r="M8" s="182"/>
      <c r="N8" s="182"/>
      <c r="O8" s="182"/>
      <c r="P8" s="182"/>
      <c r="Q8" s="146">
        <v>1</v>
      </c>
    </row>
    <row r="9" spans="1:17" ht="12" customHeight="1" x14ac:dyDescent="0.2">
      <c r="A9" s="113"/>
      <c r="B9" t="s">
        <v>194</v>
      </c>
      <c r="E9" s="181">
        <v>2</v>
      </c>
      <c r="F9" s="182"/>
      <c r="G9" s="182"/>
      <c r="H9" s="549">
        <f>-(SUMIFS('Accounting data'!$G$2:$G$37000,'Accounting data'!$H$2:$H$37000,"1071*",'Accounting data'!$K$2:$K$37000,"15*"))</f>
        <v>0</v>
      </c>
      <c r="I9" s="182"/>
      <c r="J9" s="182"/>
      <c r="K9" s="182"/>
      <c r="L9" s="182"/>
      <c r="M9" s="182"/>
      <c r="N9" s="182"/>
      <c r="O9" s="182"/>
      <c r="P9" s="182"/>
      <c r="Q9" s="146">
        <v>2</v>
      </c>
    </row>
    <row r="10" spans="1:17" ht="12" customHeight="1" x14ac:dyDescent="0.2">
      <c r="A10" s="86" t="s">
        <v>195</v>
      </c>
      <c r="E10" s="181">
        <v>3</v>
      </c>
      <c r="F10" s="182"/>
      <c r="G10" s="182"/>
      <c r="H10" s="549">
        <f>SUM(H8:H9)</f>
        <v>0</v>
      </c>
      <c r="I10" s="183"/>
      <c r="J10" s="183"/>
      <c r="K10" s="183"/>
      <c r="L10" s="183"/>
      <c r="M10" s="183"/>
      <c r="N10" s="182"/>
      <c r="O10" s="182"/>
      <c r="P10" s="182"/>
      <c r="Q10" s="146">
        <v>3</v>
      </c>
    </row>
    <row r="11" spans="1:17" ht="11.25" customHeight="1" x14ac:dyDescent="0.2">
      <c r="A11" s="113" t="s">
        <v>89</v>
      </c>
      <c r="E11" s="184"/>
      <c r="F11" s="185"/>
      <c r="G11" s="644"/>
      <c r="H11" s="835"/>
      <c r="I11" s="186"/>
      <c r="J11" s="186"/>
      <c r="K11" s="186"/>
      <c r="L11" s="186"/>
      <c r="M11" s="186"/>
      <c r="N11" s="186"/>
      <c r="O11" s="186"/>
      <c r="P11" s="187"/>
    </row>
    <row r="12" spans="1:17" ht="12" customHeight="1" x14ac:dyDescent="0.2">
      <c r="A12" s="86" t="s">
        <v>196</v>
      </c>
      <c r="F12" s="188"/>
      <c r="G12" s="645"/>
      <c r="H12" s="836"/>
      <c r="I12" s="189"/>
      <c r="J12" s="189"/>
      <c r="K12" s="189"/>
      <c r="L12" s="189"/>
      <c r="M12" s="189"/>
      <c r="N12" s="189"/>
      <c r="O12" s="189"/>
      <c r="P12" s="190"/>
    </row>
    <row r="13" spans="1:17" ht="12" customHeight="1" x14ac:dyDescent="0.2">
      <c r="A13" s="86"/>
      <c r="B13" t="s">
        <v>197</v>
      </c>
      <c r="E13" s="184">
        <v>4</v>
      </c>
      <c r="F13" s="191"/>
      <c r="G13" s="646"/>
      <c r="H13" s="845"/>
      <c r="I13" s="554">
        <f>SUMIFS('Accounting data'!$G$2:$G$37000,'Accounting data'!$H$2:$H$37000,"1071*",'Accounting data'!$I$2:$I$37000,"260*",'Accounting data'!$J$2:$J$37000,"1*",'Accounting data'!$K$2:$K$37000,"61*")</f>
        <v>0</v>
      </c>
      <c r="J13" s="554">
        <f>SUMIFS('Accounting data'!$G$2:$G$37000,'Accounting data'!$H$2:$H$37000,"1071*",'Accounting data'!$I$2:$I$37000,"260*",'Accounting data'!$J$2:$J$37000,"1*",'Accounting data'!$K$2:$K$37000,"62*")</f>
        <v>0</v>
      </c>
      <c r="K13" s="554">
        <f>SUMIFS('Accounting data'!$G$2:$G$37000,'Accounting data'!$H$2:$H$37000,"1071*",'Accounting data'!$I$2:$I$37000,"260*",'Accounting data'!$J$2:$J$37000,"1*",'Accounting data'!$K$2:$K$37000,"63*")</f>
        <v>0</v>
      </c>
      <c r="L13" s="554">
        <f>SUMIFS('Accounting data'!$G$2:$G$37000,'Accounting data'!$H$2:$H$37000,"1071*",'Accounting data'!$I$2:$I$37000,"260*",'Accounting data'!$J$2:$J$37000,"1*",'Accounting data'!$K$2:$K$37000,"66*")</f>
        <v>0</v>
      </c>
      <c r="M13" s="554">
        <f>SUMIFS('Accounting data'!$G$2:$G$37000,'Accounting data'!$H$2:$H$37000,"1071*",'Accounting data'!$I$2:$I$37000,"260*",'Accounting data'!$J$2:$J$37000,"1*",'Accounting data'!$K$2:$K$37000,"68*")</f>
        <v>0</v>
      </c>
      <c r="N13" s="554">
        <f>[1]!SEIP1071P260F1000</f>
        <v>0</v>
      </c>
      <c r="O13" s="554">
        <f>SUM(I13:M13)</f>
        <v>0</v>
      </c>
      <c r="P13" s="192"/>
      <c r="Q13" s="146">
        <v>4</v>
      </c>
    </row>
    <row r="14" spans="1:17" ht="12" customHeight="1" x14ac:dyDescent="0.2">
      <c r="A14" s="86"/>
      <c r="B14" t="s">
        <v>198</v>
      </c>
      <c r="F14" s="185"/>
      <c r="G14" s="644"/>
      <c r="H14" s="835"/>
      <c r="I14" s="189"/>
      <c r="J14" s="189"/>
      <c r="K14" s="189"/>
      <c r="L14" s="189"/>
      <c r="M14" s="189"/>
      <c r="N14" s="847">
        <f>[1]!SEIP1071P260F2100</f>
        <v>0</v>
      </c>
      <c r="O14" s="840">
        <f>SUM(I15:M15)</f>
        <v>0</v>
      </c>
      <c r="P14" s="187"/>
    </row>
    <row r="15" spans="1:17" ht="12" customHeight="1" x14ac:dyDescent="0.2">
      <c r="A15" s="86"/>
      <c r="C15" t="s">
        <v>199</v>
      </c>
      <c r="E15" s="181">
        <v>5</v>
      </c>
      <c r="F15" s="191"/>
      <c r="G15" s="646"/>
      <c r="H15" s="845"/>
      <c r="I15" s="554">
        <f>SUMIFS('Accounting data'!$G$2:$G$37000,'Accounting data'!$H$2:$H$37000,"1071*",'Accounting data'!$I$2:$I$37000,"260*",'Accounting data'!$J$2:$J$37000,"21*",'Accounting data'!$K$2:$K$37000,"61*")</f>
        <v>0</v>
      </c>
      <c r="J15" s="554">
        <f>SUMIFS('Accounting data'!$G$2:$G$37000,'Accounting data'!$H$2:$H$37000,"1071*",'Accounting data'!$I$2:$I$37000,"260*",'Accounting data'!$J$2:$J$37000,"21*",'Accounting data'!$K$2:$K$37000,"62*")</f>
        <v>0</v>
      </c>
      <c r="K15" s="554">
        <f>SUMIFS('Accounting data'!$G$2:$G$37000,'Accounting data'!$H$2:$H$37000,"1071*",'Accounting data'!$I$2:$I$37000,"260*",'Accounting data'!$J$2:$J$37000,"21*",'Accounting data'!$K$2:$K$37000,"63*")</f>
        <v>0</v>
      </c>
      <c r="L15" s="554">
        <f>SUMIFS('Accounting data'!$G$2:$G$37000,'Accounting data'!$H$2:$H$37000,"1071*",'Accounting data'!$I$2:$I$37000,"260*",'Accounting data'!$J$2:$J$37000,"21*",'Accounting data'!$K$2:$K$37000,"66*")</f>
        <v>0</v>
      </c>
      <c r="M15" s="554">
        <f>SUMIFS('Accounting data'!$G$2:$G$37000,'Accounting data'!$H$2:$H$37000,"1071*",'Accounting data'!$I$2:$I$37000,"260*",'Accounting data'!$J$2:$J$37000,"21*",'Accounting data'!$K$2:$K$37000,"68*")</f>
        <v>0</v>
      </c>
      <c r="N15" s="848"/>
      <c r="O15" s="841"/>
      <c r="P15" s="192"/>
      <c r="Q15" s="146">
        <v>5</v>
      </c>
    </row>
    <row r="16" spans="1:17" ht="12" customHeight="1" x14ac:dyDescent="0.2">
      <c r="A16" s="86"/>
      <c r="C16" t="s">
        <v>200</v>
      </c>
      <c r="E16" s="184">
        <v>6</v>
      </c>
      <c r="F16" s="193"/>
      <c r="G16" s="647"/>
      <c r="H16" s="194"/>
      <c r="I16" s="554">
        <f>SUMIFS('Accounting data'!$G$2:$G$37000,'Accounting data'!$H$2:$H$37000,"1071*",'Accounting data'!$I$2:$I$37000,"260*",'Accounting data'!$J$2:$J$37000,"22*",'Accounting data'!$K$2:$K$37000,"61*")</f>
        <v>0</v>
      </c>
      <c r="J16" s="554">
        <f>SUMIFS('Accounting data'!$G$2:$G$37000,'Accounting data'!$H$2:$H$37000,"1071*",'Accounting data'!$I$2:$I$37000,"260*",'Accounting data'!$J$2:$J$37000,"22*",'Accounting data'!$K$2:$K$37000,"62*")</f>
        <v>0</v>
      </c>
      <c r="K16" s="554">
        <f>SUMIFS('Accounting data'!$G$2:$G$37000,'Accounting data'!$H$2:$H$37000,"1071*",'Accounting data'!$I$2:$I$37000,"260*",'Accounting data'!$J$2:$J$37000,"22*",'Accounting data'!$K$2:$K$37000,"63*")</f>
        <v>0</v>
      </c>
      <c r="L16" s="554">
        <f>SUMIFS('Accounting data'!$G$2:$G$37000,'Accounting data'!$H$2:$H$37000,"1071*",'Accounting data'!$I$2:$I$37000,"260*",'Accounting data'!$J$2:$J$37000,"22*",'Accounting data'!$K$2:$K$37000,"66*")</f>
        <v>0</v>
      </c>
      <c r="M16" s="554">
        <f>SUMIFS('Accounting data'!$G$2:$G$37000,'Accounting data'!$H$2:$H$37000,"1071*",'Accounting data'!$I$2:$I$37000,"260*",'Accounting data'!$J$2:$J$37000,"22*",'Accounting data'!$K$2:$K$37000,"68*")</f>
        <v>0</v>
      </c>
      <c r="N16" s="547">
        <f>[1]!SEIP1071P260F2200</f>
        <v>0</v>
      </c>
      <c r="O16" s="549">
        <f t="shared" ref="O16:O21" si="0">SUM(I16:M16)</f>
        <v>0</v>
      </c>
      <c r="P16" s="195"/>
      <c r="Q16" s="146">
        <v>6</v>
      </c>
    </row>
    <row r="17" spans="1:17" ht="12" customHeight="1" x14ac:dyDescent="0.2">
      <c r="A17" s="86"/>
      <c r="C17" t="s">
        <v>201</v>
      </c>
      <c r="E17" s="181">
        <v>7</v>
      </c>
      <c r="F17" s="193"/>
      <c r="G17" s="647"/>
      <c r="H17" s="194"/>
      <c r="I17" s="549">
        <f>SUMIFS('Accounting data'!$G$2:$G$37000,'Accounting data'!$H$2:$H$37000,"1071*",'Accounting data'!$I$2:$I$37000,"260*",'Accounting data'!$J$2:$J$37000,"23*",'Accounting data'!$K$2:$K$37000,"61*")</f>
        <v>0</v>
      </c>
      <c r="J17" s="549">
        <f>SUMIFS('Accounting data'!$G$2:$G$37000,'Accounting data'!$H$2:$H$37000,"1071*",'Accounting data'!$I$2:$I$37000,"260*",'Accounting data'!$J$2:$J$37000,"23*",'Accounting data'!$K$2:$K$37000,"62*")</f>
        <v>0</v>
      </c>
      <c r="K17" s="549">
        <f>SUMIFS('Accounting data'!$G$2:$G$37000,'Accounting data'!$H$2:$H$37000,"1071*",'Accounting data'!$I$2:$I$37000,"260*",'Accounting data'!$J$2:$J$37000,"23*",'Accounting data'!$K$2:$K$37000,"63*")</f>
        <v>0</v>
      </c>
      <c r="L17" s="549">
        <f>SUMIFS('Accounting data'!$G$2:$G$37000,'Accounting data'!$H$2:$H$37000,"1071*",'Accounting data'!$I$2:$I$37000,"260*",'Accounting data'!$J$2:$J$37000,"23*",'Accounting data'!$K$2:$K$37000,"66*")</f>
        <v>0</v>
      </c>
      <c r="M17" s="549">
        <f>SUMIFS('Accounting data'!$G$2:$G$37000,'Accounting data'!$H$2:$H$37000,"1071*",'Accounting data'!$I$2:$I$37000,"260*",'Accounting data'!$J$2:$J$37000,"23*",'Accounting data'!$K$2:$K$37000,"68*")</f>
        <v>0</v>
      </c>
      <c r="N17" s="547">
        <f>[1]!SEIP1071P260F2300</f>
        <v>0</v>
      </c>
      <c r="O17" s="549">
        <f t="shared" si="0"/>
        <v>0</v>
      </c>
      <c r="P17" s="195"/>
      <c r="Q17" s="146">
        <v>7</v>
      </c>
    </row>
    <row r="18" spans="1:17" ht="12" customHeight="1" x14ac:dyDescent="0.2">
      <c r="A18" s="86"/>
      <c r="C18" t="s">
        <v>202</v>
      </c>
      <c r="E18" s="181">
        <v>8</v>
      </c>
      <c r="F18" s="193"/>
      <c r="G18" s="647"/>
      <c r="H18" s="194"/>
      <c r="I18" s="549">
        <f>SUMIFS('Accounting data'!$G$2:$G$37000,'Accounting data'!$H$2:$H$37000,"1071*",'Accounting data'!$I$2:$I$37000,"260*",'Accounting data'!$J$2:$J$37000,"24*",'Accounting data'!$K$2:$K$37000,"61*")</f>
        <v>0</v>
      </c>
      <c r="J18" s="549">
        <f>SUMIFS('Accounting data'!$G$2:$G$37000,'Accounting data'!$H$2:$H$37000,"1071*",'Accounting data'!$I$2:$I$37000,"260*",'Accounting data'!$J$2:$J$37000,"24*",'Accounting data'!$K$2:$K$37000,"62*")</f>
        <v>0</v>
      </c>
      <c r="K18" s="549">
        <f>SUMIFS('Accounting data'!$G$2:$G$37000,'Accounting data'!$H$2:$H$37000,"1071*",'Accounting data'!$I$2:$I$37000,"260*",'Accounting data'!$J$2:$J$37000,"24*",'Accounting data'!$K$2:$K$37000,"63*")</f>
        <v>0</v>
      </c>
      <c r="L18" s="549">
        <f>SUMIFS('Accounting data'!$G$2:$G$37000,'Accounting data'!$H$2:$H$37000,"1071*",'Accounting data'!$I$2:$I$37000,"260*",'Accounting data'!$J$2:$J$37000,"24*",'Accounting data'!$K$2:$K$37000,"66*")</f>
        <v>0</v>
      </c>
      <c r="M18" s="549">
        <f>SUMIFS('Accounting data'!$G$2:$G$37000,'Accounting data'!$H$2:$H$37000,"1071*",'Accounting data'!$I$2:$I$37000,"260*",'Accounting data'!$J$2:$J$37000,"24*",'Accounting data'!$K$2:$K$37000,"68*")</f>
        <v>0</v>
      </c>
      <c r="N18" s="547">
        <f>[1]!SEIP1071P260F2400</f>
        <v>0</v>
      </c>
      <c r="O18" s="549">
        <f t="shared" si="0"/>
        <v>0</v>
      </c>
      <c r="P18" s="195"/>
      <c r="Q18" s="146">
        <v>8</v>
      </c>
    </row>
    <row r="19" spans="1:17" ht="12" customHeight="1" x14ac:dyDescent="0.2">
      <c r="A19" s="86"/>
      <c r="C19" t="s">
        <v>203</v>
      </c>
      <c r="E19" s="181">
        <v>9</v>
      </c>
      <c r="F19" s="193"/>
      <c r="G19" s="647"/>
      <c r="H19" s="194"/>
      <c r="I19" s="549">
        <f>SUMIFS('Accounting data'!$G$2:$G$37000,'Accounting data'!$H$2:$H$37000,"1071*",'Accounting data'!$I$2:$I$37000,"260*",'Accounting data'!$J$2:$J$37000,"25*",'Accounting data'!$K$2:$K$37000,"61*")</f>
        <v>0</v>
      </c>
      <c r="J19" s="549">
        <f>SUMIFS('Accounting data'!$G$2:$G$37000,'Accounting data'!$H$2:$H$37000,"1071*",'Accounting data'!$I$2:$I$37000,"260*",'Accounting data'!$J$2:$J$37000,"25*",'Accounting data'!$K$2:$K$37000,"62*")</f>
        <v>0</v>
      </c>
      <c r="K19" s="549">
        <f>SUMIFS('Accounting data'!$G$2:$G$37000,'Accounting data'!$H$2:$H$37000,"1071*",'Accounting data'!$I$2:$I$37000,"260*",'Accounting data'!$J$2:$J$37000,"25*",'Accounting data'!$K$2:$K$37000,"63*")</f>
        <v>0</v>
      </c>
      <c r="L19" s="549">
        <f>SUMIFS('Accounting data'!$G$2:$G$37000,'Accounting data'!$H$2:$H$37000,"1071*",'Accounting data'!$I$2:$I$37000,"260*",'Accounting data'!$J$2:$J$37000,"25*",'Accounting data'!$K$2:$K$37000,"66*")</f>
        <v>0</v>
      </c>
      <c r="M19" s="549">
        <f>SUMIFS('Accounting data'!$G$2:$G$37000,'Accounting data'!$H$2:$H$37000,"1071*",'Accounting data'!$I$2:$I$37000,"260*",'Accounting data'!$J$2:$J$37000,"25*",'Accounting data'!$K$2:$K$37000,"68*")</f>
        <v>0</v>
      </c>
      <c r="N19" s="547">
        <f>[1]!SEIP1071P260F2500</f>
        <v>0</v>
      </c>
      <c r="O19" s="549">
        <f t="shared" si="0"/>
        <v>0</v>
      </c>
      <c r="P19" s="195"/>
      <c r="Q19" s="146">
        <v>9</v>
      </c>
    </row>
    <row r="20" spans="1:17" ht="12" customHeight="1" x14ac:dyDescent="0.2">
      <c r="A20" s="86"/>
      <c r="C20" t="s">
        <v>204</v>
      </c>
      <c r="E20" s="181">
        <v>10</v>
      </c>
      <c r="F20" s="193"/>
      <c r="G20" s="647"/>
      <c r="H20" s="194"/>
      <c r="I20" s="549">
        <f>SUMIFS('Accounting data'!$G$2:$G$37000,'Accounting data'!$H$2:$H$37000,"1071*",'Accounting data'!$I$2:$I$37000,"260*",'Accounting data'!$J$2:$J$37000,"26*",'Accounting data'!$K$2:$K$37000,"61*")</f>
        <v>0</v>
      </c>
      <c r="J20" s="549">
        <f>SUMIFS('Accounting data'!$G$2:$G$37000,'Accounting data'!$H$2:$H$37000,"1071*",'Accounting data'!$I$2:$I$37000,"260*",'Accounting data'!$J$2:$J$37000,"26*",'Accounting data'!$K$2:$K$37000,"62*")</f>
        <v>0</v>
      </c>
      <c r="K20" s="549">
        <f>SUMIFS('Accounting data'!$G$2:$G$37000,'Accounting data'!$H$2:$H$37000,"1071*",'Accounting data'!$I$2:$I$37000,"260*",'Accounting data'!$J$2:$J$37000,"26*",'Accounting data'!$K$2:$K$37000,"63*")</f>
        <v>0</v>
      </c>
      <c r="L20" s="549">
        <f>SUMIFS('Accounting data'!$G$2:$G$37000,'Accounting data'!$H$2:$H$37000,"1071*",'Accounting data'!$I$2:$I$37000,"260*",'Accounting data'!$J$2:$J$37000,"26*",'Accounting data'!$K$2:$K$37000,"66*")</f>
        <v>0</v>
      </c>
      <c r="M20" s="549">
        <f>SUMIFS('Accounting data'!$G$2:$G$37000,'Accounting data'!$H$2:$H$37000,"1071*",'Accounting data'!$I$2:$I$37000,"260*",'Accounting data'!$J$2:$J$37000,"26*",'Accounting data'!$K$2:$K$37000,"68*")</f>
        <v>0</v>
      </c>
      <c r="N20" s="547">
        <f>[1]!SEIP1071P260F2600</f>
        <v>0</v>
      </c>
      <c r="O20" s="549">
        <f t="shared" si="0"/>
        <v>0</v>
      </c>
      <c r="P20" s="195"/>
      <c r="Q20" s="146">
        <v>10</v>
      </c>
    </row>
    <row r="21" spans="1:17" ht="12" customHeight="1" x14ac:dyDescent="0.2">
      <c r="A21" s="86"/>
      <c r="C21" t="s">
        <v>205</v>
      </c>
      <c r="E21" s="181">
        <v>11</v>
      </c>
      <c r="F21" s="193"/>
      <c r="G21" s="647"/>
      <c r="H21" s="194"/>
      <c r="I21" s="549">
        <f>SUMIFS('Accounting data'!$G$2:$G$37000,'Accounting data'!$H$2:$H$37000,"1071*",'Accounting data'!$I$2:$I$37000,"260*",'Accounting data'!$J$2:$J$37000,"29*",'Accounting data'!$K$2:$K$37000,"61*")</f>
        <v>0</v>
      </c>
      <c r="J21" s="549">
        <f>SUMIFS('Accounting data'!$G$2:$G$37000,'Accounting data'!$H$2:$H$37000,"1071*",'Accounting data'!$I$2:$I$37000,"260*",'Accounting data'!$J$2:$J$37000,"29*",'Accounting data'!$K$2:$K$37000,"62*")</f>
        <v>0</v>
      </c>
      <c r="K21" s="549">
        <f>SUMIFS('Accounting data'!$G$2:$G$37000,'Accounting data'!$H$2:$H$37000,"1071*",'Accounting data'!$I$2:$I$37000,"260*",'Accounting data'!$J$2:$J$37000,"29*",'Accounting data'!$K$2:$K$37000,"63*")</f>
        <v>0</v>
      </c>
      <c r="L21" s="549">
        <f>SUMIFS('Accounting data'!$G$2:$G$37000,'Accounting data'!$H$2:$H$37000,"1071*",'Accounting data'!$I$2:$I$37000,"260*",'Accounting data'!$J$2:$J$37000,"29*",'Accounting data'!$K$2:$K$37000,"66*")</f>
        <v>0</v>
      </c>
      <c r="M21" s="549">
        <f>SUMIFS('Accounting data'!$G$2:$G$37000,'Accounting data'!$H$2:$H$37000,"1071*",'Accounting data'!$I$2:$I$37000,"260*",'Accounting data'!$J$2:$J$37000,"29*",'Accounting data'!$K$2:$K$37000,"68*")</f>
        <v>0</v>
      </c>
      <c r="N21" s="547">
        <f>[1]!SEIP1071P260F2900</f>
        <v>0</v>
      </c>
      <c r="O21" s="549">
        <f t="shared" si="0"/>
        <v>0</v>
      </c>
      <c r="P21" s="195"/>
      <c r="Q21" s="146">
        <v>11</v>
      </c>
    </row>
    <row r="22" spans="1:17" ht="12" customHeight="1" x14ac:dyDescent="0.2">
      <c r="A22" s="90"/>
      <c r="B22" s="6" t="s">
        <v>206</v>
      </c>
      <c r="C22" s="6"/>
      <c r="D22" s="6"/>
      <c r="E22" s="177">
        <v>12</v>
      </c>
      <c r="F22" s="193"/>
      <c r="G22" s="648"/>
      <c r="H22" s="196"/>
      <c r="I22" s="549">
        <f>SUM(I13:I21)</f>
        <v>0</v>
      </c>
      <c r="J22" s="549">
        <f t="shared" ref="J22:O22" si="1">SUM(J13:J21)</f>
        <v>0</v>
      </c>
      <c r="K22" s="549">
        <f>SUM(K13:K21)</f>
        <v>0</v>
      </c>
      <c r="L22" s="549">
        <f t="shared" si="1"/>
        <v>0</v>
      </c>
      <c r="M22" s="549">
        <f t="shared" si="1"/>
        <v>0</v>
      </c>
      <c r="N22" s="549">
        <f t="shared" si="1"/>
        <v>0</v>
      </c>
      <c r="O22" s="549">
        <f t="shared" si="1"/>
        <v>0</v>
      </c>
      <c r="P22" s="195"/>
      <c r="Q22" s="197">
        <v>12</v>
      </c>
    </row>
    <row r="23" spans="1:17" ht="12" customHeight="1" x14ac:dyDescent="0.2">
      <c r="A23" s="86" t="s">
        <v>207</v>
      </c>
      <c r="E23" s="181"/>
      <c r="F23" s="185"/>
      <c r="G23" s="644"/>
      <c r="H23" s="835"/>
      <c r="I23" s="80"/>
      <c r="J23" s="80"/>
      <c r="K23" s="80"/>
      <c r="L23" s="80"/>
      <c r="M23" s="80"/>
      <c r="N23" s="80"/>
      <c r="O23" s="80"/>
      <c r="P23" s="187"/>
      <c r="Q23" s="146"/>
    </row>
    <row r="24" spans="1:17" ht="12" customHeight="1" x14ac:dyDescent="0.2">
      <c r="A24" s="86"/>
      <c r="B24" t="s">
        <v>198</v>
      </c>
      <c r="E24" s="181"/>
      <c r="F24" s="188"/>
      <c r="G24" s="645"/>
      <c r="H24" s="836"/>
      <c r="I24" s="592"/>
      <c r="J24" s="592"/>
      <c r="K24" s="592"/>
      <c r="L24" s="592"/>
      <c r="M24" s="592"/>
      <c r="N24" s="592"/>
      <c r="O24" s="189"/>
      <c r="P24" s="190"/>
      <c r="Q24" s="146"/>
    </row>
    <row r="25" spans="1:17" ht="12" customHeight="1" x14ac:dyDescent="0.2">
      <c r="A25" s="86"/>
      <c r="C25" t="s">
        <v>208</v>
      </c>
      <c r="E25" s="181">
        <v>13</v>
      </c>
      <c r="F25" s="191"/>
      <c r="G25" s="646"/>
      <c r="H25" s="845"/>
      <c r="I25" s="592">
        <f>SUMIFS('Accounting data'!$G$2:$G$37000,'Accounting data'!$H$2:$H$37000,"1071*",'Accounting data'!$I$2:$I$37000,"43*",'Accounting data'!$J$2:$J$37000,"27*",'Accounting data'!$K$2:$K$37000,"61*")</f>
        <v>0</v>
      </c>
      <c r="J25" s="592">
        <f>SUMIFS('Accounting data'!$G$2:$G$37000,'Accounting data'!$H$2:$H$37000,"1071*",'Accounting data'!$I$2:$I$37000,"43*",'Accounting data'!$J$2:$J$37000,"27*",'Accounting data'!$K$2:$K$37000,"62*")</f>
        <v>0</v>
      </c>
      <c r="K25" s="592">
        <f>SUMIFS('Accounting data'!$G$2:$G$37000,'Accounting data'!$H$2:$H$37000,"1071*",'Accounting data'!$I$2:$I$37000,"43*",'Accounting data'!$J$2:$J$37000,"27*",'Accounting data'!$K$2:$K$37000,"63*")</f>
        <v>0</v>
      </c>
      <c r="L25" s="592">
        <f>SUMIFS('Accounting data'!$G$2:$G$37000,'Accounting data'!$H$2:$H$37000,"1071*",'Accounting data'!$I$2:$I$37000,"43*",'Accounting data'!$J$2:$J$37000,"27*",'Accounting data'!$K$2:$K$37000,"66*")</f>
        <v>0</v>
      </c>
      <c r="M25" s="592">
        <f>SUMIFS('Accounting data'!$G$2:$G$37000,'Accounting data'!$H$2:$H$37000,"1071*",'Accounting data'!$I$2:$I$37000,"43*",'Accounting data'!$J$2:$J$37000,"27*",'Accounting data'!$K$2:$K$37000,"68*")</f>
        <v>0</v>
      </c>
      <c r="N25" s="592">
        <f>[1]!SEIP1071P430F2700</f>
        <v>0</v>
      </c>
      <c r="O25" s="554">
        <f>SUM(I25:M25)</f>
        <v>0</v>
      </c>
      <c r="P25" s="192"/>
      <c r="Q25" s="197">
        <v>13</v>
      </c>
    </row>
    <row r="26" spans="1:17" ht="12" customHeight="1" x14ac:dyDescent="0.2">
      <c r="A26" s="96" t="s">
        <v>209</v>
      </c>
      <c r="B26" s="97"/>
      <c r="C26" s="97"/>
      <c r="D26" s="97"/>
      <c r="E26" s="198">
        <v>14</v>
      </c>
      <c r="F26" s="547">
        <f>[2]!SEIP1071EndBal</f>
        <v>0</v>
      </c>
      <c r="G26" s="51">
        <v>0</v>
      </c>
      <c r="H26" s="549">
        <f>H10</f>
        <v>0</v>
      </c>
      <c r="I26" s="549">
        <f>SUM(I22:I24)</f>
        <v>0</v>
      </c>
      <c r="J26" s="549">
        <f>SUM(J22:J24)</f>
        <v>0</v>
      </c>
      <c r="K26" s="549">
        <f>SUM(K22:K24)</f>
        <v>0</v>
      </c>
      <c r="L26" s="549">
        <f>SUM(L22:L24)</f>
        <v>0</v>
      </c>
      <c r="M26" s="549">
        <f>SUM(M22:M24)</f>
        <v>0</v>
      </c>
      <c r="N26" s="549">
        <f>SUM(N22:N25)</f>
        <v>0</v>
      </c>
      <c r="O26" s="549">
        <f>SUM(O22:O25)</f>
        <v>0</v>
      </c>
      <c r="P26" s="549">
        <f>IF(G26="",F26,G26)+H26-O26</f>
        <v>0</v>
      </c>
      <c r="Q26" s="197">
        <v>14</v>
      </c>
    </row>
    <row r="27" spans="1:17" ht="9" customHeight="1" x14ac:dyDescent="0.2">
      <c r="A27" s="849"/>
      <c r="B27" s="849"/>
      <c r="C27" s="849"/>
      <c r="D27" s="849"/>
      <c r="E27" s="849"/>
      <c r="F27" s="849"/>
      <c r="G27" s="849"/>
      <c r="H27" s="849"/>
      <c r="I27" s="849"/>
      <c r="J27" s="849"/>
      <c r="K27" s="850"/>
      <c r="L27" s="850"/>
      <c r="M27" s="850"/>
    </row>
    <row r="28" spans="1:17" ht="11.25" customHeight="1" x14ac:dyDescent="0.2">
      <c r="A28" s="84" t="s">
        <v>210</v>
      </c>
      <c r="B28" s="69"/>
      <c r="C28" s="69"/>
      <c r="D28" s="69"/>
      <c r="E28" s="199"/>
      <c r="F28" s="838"/>
      <c r="G28" s="640"/>
      <c r="H28" s="838"/>
      <c r="I28" s="838"/>
      <c r="J28" s="838"/>
      <c r="K28" s="838"/>
      <c r="L28" s="838"/>
      <c r="M28" s="837"/>
      <c r="N28" s="837"/>
      <c r="O28" s="837"/>
      <c r="P28" s="838"/>
    </row>
    <row r="29" spans="1:17" ht="11.25" customHeight="1" x14ac:dyDescent="0.2">
      <c r="A29" s="113" t="s">
        <v>165</v>
      </c>
      <c r="E29" s="181"/>
      <c r="F29" s="839"/>
      <c r="G29" s="641"/>
      <c r="H29" s="842"/>
      <c r="I29" s="842"/>
      <c r="J29" s="842"/>
      <c r="K29" s="842"/>
      <c r="L29" s="842"/>
      <c r="M29" s="837"/>
      <c r="N29" s="837"/>
      <c r="O29" s="837"/>
      <c r="P29" s="839"/>
    </row>
    <row r="30" spans="1:17" ht="12" customHeight="1" x14ac:dyDescent="0.2">
      <c r="A30" s="113"/>
      <c r="B30" t="s">
        <v>193</v>
      </c>
      <c r="E30" s="181">
        <v>15</v>
      </c>
      <c r="F30" s="182"/>
      <c r="G30" s="182"/>
      <c r="H30" s="549">
        <f>-(SUMIFS('Accounting data'!$G$2:$G$37000,'Accounting data'!$H$2:$H$37000,"1072*",'Accounting data'!$K$2:$K$37000,"32*"))</f>
        <v>0</v>
      </c>
      <c r="I30" s="182"/>
      <c r="J30" s="182"/>
      <c r="K30" s="182"/>
      <c r="L30" s="182"/>
      <c r="M30" s="200"/>
      <c r="N30" s="182"/>
      <c r="O30" s="182"/>
      <c r="P30" s="182"/>
      <c r="Q30" s="197">
        <v>15</v>
      </c>
    </row>
    <row r="31" spans="1:17" ht="12" customHeight="1" x14ac:dyDescent="0.2">
      <c r="A31" s="113"/>
      <c r="B31" t="s">
        <v>194</v>
      </c>
      <c r="E31" s="181">
        <v>16</v>
      </c>
      <c r="F31" s="182"/>
      <c r="G31" s="182"/>
      <c r="H31" s="549">
        <f>-(SUMIFS('Accounting data'!$G$2:$G$37000,'Accounting data'!$H$2:$H$37000,"1072*",'Accounting data'!$K$2:$K$37000,"15*"))</f>
        <v>0</v>
      </c>
      <c r="I31" s="182"/>
      <c r="J31" s="182"/>
      <c r="K31" s="182"/>
      <c r="L31" s="182"/>
      <c r="M31" s="182"/>
      <c r="N31" s="182"/>
      <c r="O31" s="182"/>
      <c r="P31" s="182"/>
      <c r="Q31" s="197">
        <v>16</v>
      </c>
    </row>
    <row r="32" spans="1:17" ht="12" customHeight="1" x14ac:dyDescent="0.2">
      <c r="A32" s="86" t="s">
        <v>211</v>
      </c>
      <c r="E32" s="181">
        <v>17</v>
      </c>
      <c r="F32" s="183"/>
      <c r="G32" s="183"/>
      <c r="H32" s="549">
        <f>SUM(H30:H31)</f>
        <v>0</v>
      </c>
      <c r="I32" s="183"/>
      <c r="J32" s="183"/>
      <c r="K32" s="183"/>
      <c r="L32" s="183"/>
      <c r="M32" s="183"/>
      <c r="N32" s="183"/>
      <c r="O32" s="183"/>
      <c r="P32" s="183"/>
      <c r="Q32" s="197">
        <v>17</v>
      </c>
    </row>
    <row r="33" spans="1:17" ht="11.25" customHeight="1" x14ac:dyDescent="0.2">
      <c r="A33" s="113" t="s">
        <v>89</v>
      </c>
      <c r="E33" s="184"/>
      <c r="F33" s="185"/>
      <c r="G33" s="644"/>
      <c r="H33" s="201"/>
      <c r="I33" s="143"/>
      <c r="J33" s="143"/>
      <c r="K33" s="143"/>
      <c r="L33" s="143"/>
      <c r="M33" s="143"/>
      <c r="N33" s="143"/>
      <c r="O33" s="143"/>
      <c r="P33" s="185"/>
    </row>
    <row r="34" spans="1:17" ht="12" customHeight="1" x14ac:dyDescent="0.2">
      <c r="A34" s="86" t="s">
        <v>212</v>
      </c>
      <c r="E34" s="184"/>
      <c r="F34" s="188"/>
      <c r="G34" s="645"/>
      <c r="H34" s="202"/>
      <c r="I34" s="189"/>
      <c r="J34" s="189"/>
      <c r="K34" s="189"/>
      <c r="L34" s="189"/>
      <c r="M34" s="189"/>
      <c r="N34" s="189"/>
      <c r="O34" s="189"/>
      <c r="P34" s="188"/>
    </row>
    <row r="35" spans="1:17" ht="12" customHeight="1" x14ac:dyDescent="0.2">
      <c r="A35" s="86"/>
      <c r="B35" t="s">
        <v>197</v>
      </c>
      <c r="E35" s="184">
        <v>18</v>
      </c>
      <c r="F35" s="191"/>
      <c r="G35" s="646"/>
      <c r="H35" s="203"/>
      <c r="I35" s="554">
        <f>SUMIFS('Accounting data'!$G$2:$G$37000,'Accounting data'!$H$2:$H$37000,"1072*",'Accounting data'!$I$2:$I$37000,"265*",'Accounting data'!$J$2:$J$37000,"1*",'Accounting data'!$K$2:$K$37000,"61*")</f>
        <v>0</v>
      </c>
      <c r="J35" s="554">
        <f>SUMIFS('Accounting data'!$G$2:$G$37000,'Accounting data'!$H$2:$H$37000,"1072*",'Accounting data'!$I$2:$I$37000,"265*",'Accounting data'!$J$2:$J$37000,"1*",'Accounting data'!$K$2:$K$37000,"62*")</f>
        <v>0</v>
      </c>
      <c r="K35" s="554">
        <f>SUMIFS('Accounting data'!$G$2:$G$37000,'Accounting data'!$H$2:$H$37000,"1072*",'Accounting data'!$I$2:$I$37000,"265*",'Accounting data'!$J$2:$J$37000,"1*",'Accounting data'!$K$2:$K$37000,"63*")</f>
        <v>0</v>
      </c>
      <c r="L35" s="554">
        <f>SUMIFS('Accounting data'!$G$2:$G$37000,'Accounting data'!$H$2:$H$37000,"1072*",'Accounting data'!$I$2:$I$37000,"265*",'Accounting data'!$J$2:$J$37000,"1*",'Accounting data'!$K$2:$K$37000,"66*")</f>
        <v>0</v>
      </c>
      <c r="M35" s="554">
        <f>SUMIFS('Accounting data'!$G$2:$G$37000,'Accounting data'!$H$2:$H$37000,"1072*",'Accounting data'!$I$2:$I$37000,"265*",'Accounting data'!$J$2:$J$37000,"1*",'Accounting data'!$K$2:$K$37000,"68*")</f>
        <v>0</v>
      </c>
      <c r="N35" s="554">
        <f>[1]!CIP1072P265F1000</f>
        <v>0</v>
      </c>
      <c r="O35" s="554">
        <f>SUM(I35:M35)</f>
        <v>0</v>
      </c>
      <c r="P35" s="191"/>
      <c r="Q35" s="197">
        <v>18</v>
      </c>
    </row>
    <row r="36" spans="1:17" ht="12" customHeight="1" x14ac:dyDescent="0.2">
      <c r="A36" s="86"/>
      <c r="B36" t="s">
        <v>198</v>
      </c>
      <c r="E36" s="181"/>
      <c r="F36" s="185"/>
      <c r="G36" s="645"/>
      <c r="H36" s="836"/>
      <c r="I36" s="186"/>
      <c r="J36" s="186"/>
      <c r="K36" s="186"/>
      <c r="L36" s="186"/>
      <c r="M36" s="186"/>
      <c r="N36" s="186"/>
      <c r="O36" s="186"/>
      <c r="P36" s="185"/>
      <c r="Q36" s="197"/>
    </row>
    <row r="37" spans="1:17" ht="12" customHeight="1" x14ac:dyDescent="0.2">
      <c r="A37" s="86"/>
      <c r="C37" t="s">
        <v>199</v>
      </c>
      <c r="E37" s="181">
        <v>19</v>
      </c>
      <c r="F37" s="191"/>
      <c r="G37" s="645"/>
      <c r="H37" s="836"/>
      <c r="I37" s="554">
        <f>SUMIFS('Accounting data'!$G$2:$G$37000,'Accounting data'!$H$2:$H$37000,"1072*",'Accounting data'!$I$2:$I$37000,"265*",'Accounting data'!$J$2:$J$37000,"21*",'Accounting data'!$K$2:$K$37000,"61*")</f>
        <v>0</v>
      </c>
      <c r="J37" s="554">
        <f>SUMIFS('Accounting data'!$G$2:$G$37000,'Accounting data'!$H$2:$H$37000,"1072*",'Accounting data'!$I$2:$I$37000,"265*",'Accounting data'!$J$2:$J$37000,"21*",'Accounting data'!$K$2:$K$37000,"62*")</f>
        <v>0</v>
      </c>
      <c r="K37" s="554">
        <f>SUMIFS('Accounting data'!$G$2:$G$37000,'Accounting data'!$H$2:$H$37000,"1072*",'Accounting data'!$I$2:$I$37000,"265*",'Accounting data'!$J$2:$J$37000,"21*",'Accounting data'!$K$2:$K$37000,"63*")</f>
        <v>0</v>
      </c>
      <c r="L37" s="554">
        <f>SUMIFS('Accounting data'!$G$2:$G$37000,'Accounting data'!$H$2:$H$37000,"1072*",'Accounting data'!$I$2:$I$37000,"265*",'Accounting data'!$J$2:$J$37000,"21*",'Accounting data'!$K$2:$K$37000,"66*")</f>
        <v>0</v>
      </c>
      <c r="M37" s="554">
        <f>SUMIFS('Accounting data'!$G$2:$G$37000,'Accounting data'!$H$2:$H$37000,"1072*",'Accounting data'!$I$2:$I$37000,"265*",'Accounting data'!$J$2:$J$37000,"21*",'Accounting data'!$K$2:$K$37000,"68*")</f>
        <v>0</v>
      </c>
      <c r="N37" s="554">
        <f>[1]!CIP1072P265F2100</f>
        <v>0</v>
      </c>
      <c r="O37" s="554">
        <f>SUM(I37:M37)</f>
        <v>0</v>
      </c>
      <c r="P37" s="191"/>
      <c r="Q37" s="197">
        <v>19</v>
      </c>
    </row>
    <row r="38" spans="1:17" ht="12" customHeight="1" x14ac:dyDescent="0.2">
      <c r="A38" s="86"/>
      <c r="C38" t="s">
        <v>200</v>
      </c>
      <c r="E38" s="181">
        <v>20</v>
      </c>
      <c r="F38" s="193"/>
      <c r="G38" s="647"/>
      <c r="H38" s="194"/>
      <c r="I38" s="549">
        <f>SUMIFS('Accounting data'!$G$2:$G$37000,'Accounting data'!$H$2:$H$37000,"1072*",'Accounting data'!$I$2:$I$37000,"265*",'Accounting data'!$J$2:$J$37000,"22*",'Accounting data'!$K$2:$K$37000,"61*")</f>
        <v>0</v>
      </c>
      <c r="J38" s="549">
        <f>SUMIFS('Accounting data'!$G$2:$G$37000,'Accounting data'!$H$2:$H$37000,"1072*",'Accounting data'!$I$2:$I$37000,"265*",'Accounting data'!$J$2:$J$37000,"22*",'Accounting data'!$K$2:$K$37000,"62*")</f>
        <v>0</v>
      </c>
      <c r="K38" s="549">
        <f>SUMIFS('Accounting data'!$G$2:$G$37000,'Accounting data'!$H$2:$H$37000,"1072*",'Accounting data'!$I$2:$I$37000,"265*",'Accounting data'!$J$2:$J$37000,"22*",'Accounting data'!$K$2:$K$37000,"63*")</f>
        <v>0</v>
      </c>
      <c r="L38" s="549">
        <f>SUMIFS('Accounting data'!$G$2:$G$37000,'Accounting data'!$H$2:$H$37000,"1072*",'Accounting data'!$I$2:$I$37000,"265*",'Accounting data'!$J$2:$J$37000,"22*",'Accounting data'!$K$2:$K$37000,"66*")</f>
        <v>0</v>
      </c>
      <c r="M38" s="549">
        <f>SUMIFS('Accounting data'!$G$2:$G$37000,'Accounting data'!$H$2:$H$37000,"1072*",'Accounting data'!$I$2:$I$37000,"265*",'Accounting data'!$J$2:$J$37000,"22*",'Accounting data'!$K$2:$K$37000,"68*")</f>
        <v>0</v>
      </c>
      <c r="N38" s="547">
        <f>[1]!CIP1072P265F2200</f>
        <v>0</v>
      </c>
      <c r="O38" s="549">
        <f t="shared" ref="O38:O43" si="2">SUM(I38:M38)</f>
        <v>0</v>
      </c>
      <c r="P38" s="193"/>
      <c r="Q38" s="197">
        <v>20</v>
      </c>
    </row>
    <row r="39" spans="1:17" ht="12" customHeight="1" x14ac:dyDescent="0.2">
      <c r="A39" s="86"/>
      <c r="C39" t="s">
        <v>201</v>
      </c>
      <c r="E39" s="181">
        <v>21</v>
      </c>
      <c r="F39" s="193"/>
      <c r="G39" s="647"/>
      <c r="H39" s="194"/>
      <c r="I39" s="549">
        <f>SUMIFS('Accounting data'!$G$2:$G$37000,'Accounting data'!$H$2:$H$37000,"1072*",'Accounting data'!$I$2:$I$37000,"265*",'Accounting data'!$J$2:$J$37000,"23*",'Accounting data'!$K$2:$K$37000,"61*")</f>
        <v>0</v>
      </c>
      <c r="J39" s="549">
        <f>SUMIFS('Accounting data'!$G$2:$G$37000,'Accounting data'!$H$2:$H$37000,"1072*",'Accounting data'!$I$2:$I$37000,"265*",'Accounting data'!$J$2:$J$37000,"23*",'Accounting data'!$K$2:$K$37000,"62*")</f>
        <v>0</v>
      </c>
      <c r="K39" s="549">
        <f>SUMIFS('Accounting data'!$G$2:$G$37000,'Accounting data'!$H$2:$H$37000,"1072*",'Accounting data'!$I$2:$I$37000,"265*",'Accounting data'!$J$2:$J$37000,"23*",'Accounting data'!$K$2:$K$37000,"63*")</f>
        <v>0</v>
      </c>
      <c r="L39" s="549">
        <f>SUMIFS('Accounting data'!$G$2:$G$37000,'Accounting data'!$H$2:$H$37000,"1072*",'Accounting data'!$I$2:$I$37000,"265*",'Accounting data'!$J$2:$J$37000,"23*",'Accounting data'!$K$2:$K$37000,"66*")</f>
        <v>0</v>
      </c>
      <c r="M39" s="549">
        <f>SUMIFS('Accounting data'!$G$2:$G$37000,'Accounting data'!$H$2:$H$37000,"1072*",'Accounting data'!$I$2:$I$37000,"265*",'Accounting data'!$J$2:$J$37000,"23*",'Accounting data'!$K$2:$K$37000,"68*")</f>
        <v>0</v>
      </c>
      <c r="N39" s="547">
        <f>[1]!CIP1072P265F2300</f>
        <v>0</v>
      </c>
      <c r="O39" s="549">
        <f t="shared" si="2"/>
        <v>0</v>
      </c>
      <c r="P39" s="193"/>
      <c r="Q39" s="197">
        <v>21</v>
      </c>
    </row>
    <row r="40" spans="1:17" ht="12" customHeight="1" x14ac:dyDescent="0.2">
      <c r="A40" s="86"/>
      <c r="C40" t="s">
        <v>202</v>
      </c>
      <c r="E40" s="181">
        <v>22</v>
      </c>
      <c r="F40" s="193"/>
      <c r="G40" s="647"/>
      <c r="H40" s="194"/>
      <c r="I40" s="549">
        <f>SUMIFS('Accounting data'!$G$2:$G$37000,'Accounting data'!$H$2:$H$37000,"1072*",'Accounting data'!$I$2:$I$37000,"265*",'Accounting data'!$J$2:$J$37000,"24*",'Accounting data'!$K$2:$K$37000,"61*")</f>
        <v>0</v>
      </c>
      <c r="J40" s="549">
        <f>SUMIFS('Accounting data'!$G$2:$G$37000,'Accounting data'!$H$2:$H$37000,"1072*",'Accounting data'!$I$2:$I$37000,"265*",'Accounting data'!$J$2:$J$37000,"24*",'Accounting data'!$K$2:$K$37000,"62*")</f>
        <v>0</v>
      </c>
      <c r="K40" s="549">
        <f>SUMIFS('Accounting data'!$G$2:$G$37000,'Accounting data'!$H$2:$H$37000,"1072*",'Accounting data'!$I$2:$I$37000,"265*",'Accounting data'!$J$2:$J$37000,"24*",'Accounting data'!$K$2:$K$37000,"63*")</f>
        <v>0</v>
      </c>
      <c r="L40" s="549">
        <f>SUMIFS('Accounting data'!$G$2:$G$37000,'Accounting data'!$H$2:$H$37000,"1072*",'Accounting data'!$I$2:$I$37000,"265*",'Accounting data'!$J$2:$J$37000,"24*",'Accounting data'!$K$2:$K$37000,"66*")</f>
        <v>0</v>
      </c>
      <c r="M40" s="549">
        <f>SUMIFS('Accounting data'!$G$2:$G$37000,'Accounting data'!$H$2:$H$37000,"1072*",'Accounting data'!$I$2:$I$37000,"265*",'Accounting data'!$J$2:$J$37000,"24*",'Accounting data'!$K$2:$K$37000,"68*")</f>
        <v>0</v>
      </c>
      <c r="N40" s="547">
        <f>[1]!CIP1072P265F2400</f>
        <v>0</v>
      </c>
      <c r="O40" s="549">
        <f t="shared" si="2"/>
        <v>0</v>
      </c>
      <c r="P40" s="193"/>
      <c r="Q40" s="197">
        <v>22</v>
      </c>
    </row>
    <row r="41" spans="1:17" ht="12" customHeight="1" x14ac:dyDescent="0.2">
      <c r="A41" s="86"/>
      <c r="C41" t="s">
        <v>203</v>
      </c>
      <c r="E41" s="181">
        <v>23</v>
      </c>
      <c r="F41" s="193"/>
      <c r="G41" s="647"/>
      <c r="H41" s="194"/>
      <c r="I41" s="549">
        <f>SUMIFS('Accounting data'!$G$2:$G$37000,'Accounting data'!$H$2:$H$37000,"1072*",'Accounting data'!$I$2:$I$37000,"265*",'Accounting data'!$J$2:$J$37000,"25*",'Accounting data'!$K$2:$K$37000,"61*")</f>
        <v>0</v>
      </c>
      <c r="J41" s="549">
        <f>SUMIFS('Accounting data'!$G$2:$G$37000,'Accounting data'!$H$2:$H$37000,"1072*",'Accounting data'!$I$2:$I$37000,"265*",'Accounting data'!$J$2:$J$37000,"25*",'Accounting data'!$K$2:$K$37000,"62*")</f>
        <v>0</v>
      </c>
      <c r="K41" s="549">
        <f>SUMIFS('Accounting data'!$G$2:$G$37000,'Accounting data'!$H$2:$H$37000,"1072*",'Accounting data'!$I$2:$I$37000,"265*",'Accounting data'!$J$2:$J$37000,"25*",'Accounting data'!$K$2:$K$37000,"63*")</f>
        <v>0</v>
      </c>
      <c r="L41" s="549">
        <f>SUMIFS('Accounting data'!$G$2:$G$37000,'Accounting data'!$H$2:$H$37000,"1072*",'Accounting data'!$I$2:$I$37000,"265*",'Accounting data'!$J$2:$J$37000,"25*",'Accounting data'!$K$2:$K$37000,"66*")</f>
        <v>0</v>
      </c>
      <c r="M41" s="549">
        <f>SUMIFS('Accounting data'!$G$2:$G$37000,'Accounting data'!$H$2:$H$37000,"1072*",'Accounting data'!$I$2:$I$37000,"265*",'Accounting data'!$J$2:$J$37000,"25*",'Accounting data'!$K$2:$K$37000,"68*")</f>
        <v>0</v>
      </c>
      <c r="N41" s="547">
        <f>[1]!CIP1072P265F2500</f>
        <v>0</v>
      </c>
      <c r="O41" s="549">
        <f t="shared" si="2"/>
        <v>0</v>
      </c>
      <c r="P41" s="193"/>
      <c r="Q41" s="197">
        <v>23</v>
      </c>
    </row>
    <row r="42" spans="1:17" ht="12" customHeight="1" x14ac:dyDescent="0.2">
      <c r="A42" s="86"/>
      <c r="C42" t="s">
        <v>204</v>
      </c>
      <c r="E42" s="181">
        <v>24</v>
      </c>
      <c r="F42" s="193"/>
      <c r="G42" s="647"/>
      <c r="H42" s="194"/>
      <c r="I42" s="549">
        <f>SUMIFS('Accounting data'!$G$2:$G$37000,'Accounting data'!$H$2:$H$37000,"1072*",'Accounting data'!$I$2:$I$37000,"265*",'Accounting data'!$J$2:$J$37000,"26*",'Accounting data'!$K$2:$K$37000,"61*")</f>
        <v>0</v>
      </c>
      <c r="J42" s="549">
        <f>SUMIFS('Accounting data'!$G$2:$G$37000,'Accounting data'!$H$2:$H$37000,"1072*",'Accounting data'!$I$2:$I$37000,"265*",'Accounting data'!$J$2:$J$37000,"26*",'Accounting data'!$K$2:$K$37000,"62*")</f>
        <v>0</v>
      </c>
      <c r="K42" s="549">
        <f>SUMIFS('Accounting data'!$G$2:$G$37000,'Accounting data'!$H$2:$H$37000,"1072*",'Accounting data'!$I$2:$I$37000,"265*",'Accounting data'!$J$2:$J$37000,"26*",'Accounting data'!$K$2:$K$37000,"63*")</f>
        <v>0</v>
      </c>
      <c r="L42" s="549">
        <f>SUMIFS('Accounting data'!$G$2:$G$37000,'Accounting data'!$H$2:$H$37000,"1072*",'Accounting data'!$I$2:$I$37000,"265*",'Accounting data'!$J$2:$J$37000,"26*",'Accounting data'!$K$2:$K$37000,"66*")</f>
        <v>0</v>
      </c>
      <c r="M42" s="549">
        <f>SUMIFS('Accounting data'!$G$2:$G$37000,'Accounting data'!$H$2:$H$37000,"1072*",'Accounting data'!$I$2:$I$37000,"265*",'Accounting data'!$J$2:$J$37000,"26*",'Accounting data'!$K$2:$K$37000,"68*")</f>
        <v>0</v>
      </c>
      <c r="N42" s="547">
        <f>[1]!CIP1072P265F2600</f>
        <v>0</v>
      </c>
      <c r="O42" s="549">
        <f t="shared" si="2"/>
        <v>0</v>
      </c>
      <c r="P42" s="193"/>
      <c r="Q42" s="197">
        <v>24</v>
      </c>
    </row>
    <row r="43" spans="1:17" ht="12" customHeight="1" x14ac:dyDescent="0.2">
      <c r="A43" s="86"/>
      <c r="C43" t="s">
        <v>205</v>
      </c>
      <c r="E43" s="181">
        <v>25</v>
      </c>
      <c r="F43" s="193"/>
      <c r="G43" s="647"/>
      <c r="H43" s="194"/>
      <c r="I43" s="549">
        <f>SUMIFS('Accounting data'!$G$2:$G$37000,'Accounting data'!$H$2:$H$37000,"1072*",'Accounting data'!$I$2:$I$37000,"265*",'Accounting data'!$J$2:$J$37000,"29*",'Accounting data'!$K$2:$K$37000,"61*")</f>
        <v>0</v>
      </c>
      <c r="J43" s="549">
        <f>SUMIFS('Accounting data'!$G$2:$G$37000,'Accounting data'!$H$2:$H$37000,"1072*",'Accounting data'!$I$2:$I$37000,"265*",'Accounting data'!$J$2:$J$37000,"29*",'Accounting data'!$K$2:$K$37000,"62*")</f>
        <v>0</v>
      </c>
      <c r="K43" s="549">
        <f>SUMIFS('Accounting data'!$G$2:$G$37000,'Accounting data'!$H$2:$H$37000,"1072*",'Accounting data'!$I$2:$I$37000,"265*",'Accounting data'!$J$2:$J$37000,"29*",'Accounting data'!$K$2:$K$37000,"63*")</f>
        <v>0</v>
      </c>
      <c r="L43" s="549">
        <f>SUMIFS('Accounting data'!$G$2:$G$37000,'Accounting data'!$H$2:$H$37000,"1072*",'Accounting data'!$I$2:$I$37000,"265*",'Accounting data'!$J$2:$J$37000,"29*",'Accounting data'!$K$2:$K$37000,"66*")</f>
        <v>0</v>
      </c>
      <c r="M43" s="549">
        <f>SUMIFS('Accounting data'!$G$2:$G$37000,'Accounting data'!$H$2:$H$37000,"1072*",'Accounting data'!$I$2:$I$37000,"265*",'Accounting data'!$J$2:$J$37000,"29*",'Accounting data'!$K$2:$K$37000,"68*")</f>
        <v>0</v>
      </c>
      <c r="N43" s="547">
        <f>[1]!CIP1072P265F2900</f>
        <v>0</v>
      </c>
      <c r="O43" s="549">
        <f t="shared" si="2"/>
        <v>0</v>
      </c>
      <c r="P43" s="193"/>
      <c r="Q43" s="197">
        <v>25</v>
      </c>
    </row>
    <row r="44" spans="1:17" ht="12" customHeight="1" x14ac:dyDescent="0.2">
      <c r="A44" s="90"/>
      <c r="B44" s="6" t="s">
        <v>213</v>
      </c>
      <c r="C44" s="6"/>
      <c r="D44" s="6"/>
      <c r="E44" s="177">
        <v>26</v>
      </c>
      <c r="F44" s="193"/>
      <c r="G44" s="647"/>
      <c r="H44" s="194"/>
      <c r="I44" s="204">
        <f>SUM(I35:I43)</f>
        <v>0</v>
      </c>
      <c r="J44" s="204">
        <f t="shared" ref="J44:M44" si="3">SUM(J35:J43)</f>
        <v>0</v>
      </c>
      <c r="K44" s="204">
        <f>SUM(K35:K43)</f>
        <v>0</v>
      </c>
      <c r="L44" s="204">
        <f>SUM(L35:L43)</f>
        <v>0</v>
      </c>
      <c r="M44" s="204">
        <f t="shared" si="3"/>
        <v>0</v>
      </c>
      <c r="N44" s="204">
        <f>SUM(N35:N43)</f>
        <v>0</v>
      </c>
      <c r="O44" s="204">
        <f>SUM(O35:O43)</f>
        <v>0</v>
      </c>
      <c r="P44" s="193"/>
      <c r="Q44" s="197">
        <v>26</v>
      </c>
    </row>
    <row r="45" spans="1:17" ht="12" customHeight="1" x14ac:dyDescent="0.2">
      <c r="A45" s="86" t="s">
        <v>214</v>
      </c>
      <c r="E45" s="181"/>
      <c r="F45" s="185"/>
      <c r="G45" s="644"/>
      <c r="H45" s="835"/>
      <c r="I45" s="143"/>
      <c r="J45" s="143"/>
      <c r="K45" s="143"/>
      <c r="L45" s="143"/>
      <c r="M45" s="143"/>
      <c r="N45" s="143"/>
      <c r="O45" s="143"/>
      <c r="P45" s="185"/>
      <c r="Q45" s="197"/>
    </row>
    <row r="46" spans="1:17" ht="12" customHeight="1" x14ac:dyDescent="0.2">
      <c r="A46" s="86"/>
      <c r="B46" t="s">
        <v>198</v>
      </c>
      <c r="E46" s="181"/>
      <c r="F46" s="188"/>
      <c r="G46" s="645"/>
      <c r="H46" s="836"/>
      <c r="I46" s="189"/>
      <c r="J46" s="189"/>
      <c r="K46" s="189"/>
      <c r="L46" s="189"/>
      <c r="M46" s="189"/>
      <c r="N46" s="189"/>
      <c r="O46" s="189"/>
      <c r="P46" s="188"/>
      <c r="Q46" s="197"/>
    </row>
    <row r="47" spans="1:17" ht="12" customHeight="1" x14ac:dyDescent="0.2">
      <c r="A47" s="86"/>
      <c r="C47" t="s">
        <v>208</v>
      </c>
      <c r="E47" s="181">
        <v>27</v>
      </c>
      <c r="F47" s="188"/>
      <c r="G47" s="645"/>
      <c r="H47" s="836"/>
      <c r="I47" s="554">
        <f>SUMIFS('Accounting data'!$G$2:$G$37000,'Accounting data'!$H$2:$H$37000,"1072*",'Accounting data'!$I$2:$I$37000,"435*",'Accounting data'!$J$2:$J$37000,"27*",'Accounting data'!$K$2:$K$37000,"61*")</f>
        <v>0</v>
      </c>
      <c r="J47" s="554">
        <f>SUMIFS('Accounting data'!$G$2:$G$37000,'Accounting data'!$H$2:$H$37000,"1072*",'Accounting data'!$I$2:$I$37000,"435*",'Accounting data'!$J$2:$J$37000,"27*",'Accounting data'!$K$2:$K$37000,"62*")</f>
        <v>0</v>
      </c>
      <c r="K47" s="554">
        <f>SUMIFS('Accounting data'!$G$2:$G$37000,'Accounting data'!$H$2:$H$37000,"1072*",'Accounting data'!$I$2:$I$37000,"435*",'Accounting data'!$J$2:$J$37000,"27*",'Accounting data'!$K$2:$K$37000,"63*")</f>
        <v>0</v>
      </c>
      <c r="L47" s="554">
        <f>SUMIFS('Accounting data'!$G$2:$G$37000,'Accounting data'!$H$2:$H$37000,"1072*",'Accounting data'!$I$2:$I$37000,"435*",'Accounting data'!$J$2:$J$37000,"27*",'Accounting data'!$K$2:$K$37000,"66*")</f>
        <v>0</v>
      </c>
      <c r="M47" s="554">
        <f>SUMIFS('Accounting data'!$G$2:$G$37000,'Accounting data'!$H$2:$H$37000,"1072*",'Accounting data'!$I$2:$I$37000,"435*",'Accounting data'!$J$2:$J$37000,"27*",'Accounting data'!$K$2:$K$37000,"68*")</f>
        <v>0</v>
      </c>
      <c r="N47" s="554">
        <f>[1]!CIP1072P435F2700</f>
        <v>0</v>
      </c>
      <c r="O47" s="554">
        <f>SUM(I47:M47)</f>
        <v>0</v>
      </c>
      <c r="P47" s="188"/>
      <c r="Q47" s="197">
        <v>27</v>
      </c>
    </row>
    <row r="48" spans="1:17" ht="12" customHeight="1" x14ac:dyDescent="0.2">
      <c r="A48" s="96" t="s">
        <v>215</v>
      </c>
      <c r="B48" s="97"/>
      <c r="C48" s="97"/>
      <c r="D48" s="97"/>
      <c r="E48" s="198">
        <v>28</v>
      </c>
      <c r="F48" s="547">
        <f>[2]!CIP1072EndBal</f>
        <v>0</v>
      </c>
      <c r="G48" s="51">
        <v>0</v>
      </c>
      <c r="H48" s="549">
        <f>H32</f>
        <v>0</v>
      </c>
      <c r="I48" s="554">
        <f t="shared" ref="I48:M48" si="4">SUM(I44:I47)</f>
        <v>0</v>
      </c>
      <c r="J48" s="554">
        <f t="shared" si="4"/>
        <v>0</v>
      </c>
      <c r="K48" s="554">
        <f t="shared" si="4"/>
        <v>0</v>
      </c>
      <c r="L48" s="554">
        <f t="shared" si="4"/>
        <v>0</v>
      </c>
      <c r="M48" s="554">
        <f t="shared" si="4"/>
        <v>0</v>
      </c>
      <c r="N48" s="549">
        <f>SUM(N44:N47)</f>
        <v>0</v>
      </c>
      <c r="O48" s="549">
        <f>SUM(O44:O47)</f>
        <v>0</v>
      </c>
      <c r="P48" s="549">
        <f>IF(G48="",F48,G48)+H48-O48</f>
        <v>0</v>
      </c>
      <c r="Q48" s="197">
        <v>28</v>
      </c>
    </row>
  </sheetData>
  <sheetProtection formatCells="0" formatColumns="0" formatRows="0"/>
  <mergeCells count="31">
    <mergeCell ref="D1:E1"/>
    <mergeCell ref="K1:L1"/>
    <mergeCell ref="A27:M27"/>
    <mergeCell ref="I6:I7"/>
    <mergeCell ref="J6:J7"/>
    <mergeCell ref="K6:K7"/>
    <mergeCell ref="G3:G5"/>
    <mergeCell ref="F28:F29"/>
    <mergeCell ref="F6:F7"/>
    <mergeCell ref="N3:O3"/>
    <mergeCell ref="N14:N15"/>
    <mergeCell ref="N6:N7"/>
    <mergeCell ref="P6:P7"/>
    <mergeCell ref="H11:H13"/>
    <mergeCell ref="H23:H25"/>
    <mergeCell ref="H14:H15"/>
    <mergeCell ref="H6:H7"/>
    <mergeCell ref="L6:L7"/>
    <mergeCell ref="M6:M7"/>
    <mergeCell ref="H45:H47"/>
    <mergeCell ref="N28:N29"/>
    <mergeCell ref="O28:O29"/>
    <mergeCell ref="P28:P29"/>
    <mergeCell ref="O14:O15"/>
    <mergeCell ref="H28:H29"/>
    <mergeCell ref="H36:H37"/>
    <mergeCell ref="I28:I29"/>
    <mergeCell ref="J28:J29"/>
    <mergeCell ref="K28:K29"/>
    <mergeCell ref="L28:L29"/>
    <mergeCell ref="M28:M29"/>
  </mergeCells>
  <conditionalFormatting sqref="G26">
    <cfRule type="containsBlanks" dxfId="62" priority="2">
      <formula>LEN(TRIM(G26))=0</formula>
    </cfRule>
  </conditionalFormatting>
  <conditionalFormatting sqref="G48">
    <cfRule type="containsBlanks" dxfId="61" priority="1">
      <formula>LEN(TRIM(G48))=0</formula>
    </cfRule>
  </conditionalFormatting>
  <hyperlinks>
    <hyperlink ref="G3" location="Page5AdjBeginProjBal" display="Adjusted" xr:uid="{0B1C98DD-F905-41A8-9AA6-3B0FC30A78BF}"/>
  </hyperlinks>
  <pageMargins left="0.7" right="0.7" top="0.75" bottom="0.75" header="0.3" footer="0.3"/>
  <pageSetup scale="70" orientation="landscape" r:id="rId1"/>
  <headerFooter>
    <oddFooter>&amp;LRev. 8/25 Arizona Department of Education and Auditor General&amp;CFY 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A41"/>
  <sheetViews>
    <sheetView showGridLines="0" workbookViewId="0">
      <selection sqref="A1:XFD1048576"/>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27" ht="12" customHeight="1" x14ac:dyDescent="0.2">
      <c r="A1" s="546" t="s">
        <v>0</v>
      </c>
      <c r="C1" s="813" t="str">
        <f>'Cover Page'!D1</f>
        <v>ASU Preparatory Academy- Polytechnic MS</v>
      </c>
      <c r="D1" s="813"/>
      <c r="E1" s="813"/>
      <c r="F1" s="813"/>
      <c r="H1" t="s">
        <v>20</v>
      </c>
      <c r="I1" s="546" t="s">
        <v>1</v>
      </c>
      <c r="L1" s="1" t="str">
        <f>'Cover Page'!M1</f>
        <v>Maricopa</v>
      </c>
      <c r="T1" s="59" t="s">
        <v>2</v>
      </c>
      <c r="U1" s="205" t="str">
        <f>'Cover Page'!R1</f>
        <v>078251000</v>
      </c>
    </row>
    <row r="2" spans="1:27" hidden="1" x14ac:dyDescent="0.2">
      <c r="T2" s="66"/>
      <c r="U2" s="66"/>
    </row>
    <row r="3" spans="1:27" x14ac:dyDescent="0.2">
      <c r="V3" s="151"/>
    </row>
    <row r="4" spans="1:27" x14ac:dyDescent="0.2">
      <c r="A4" s="206" t="s">
        <v>216</v>
      </c>
      <c r="B4" s="66"/>
      <c r="C4" s="66"/>
      <c r="D4" s="66"/>
      <c r="E4" s="66"/>
      <c r="F4" s="66"/>
      <c r="G4" s="66"/>
      <c r="H4" s="66"/>
      <c r="I4" s="66"/>
      <c r="J4" s="66"/>
      <c r="K4" s="66"/>
      <c r="L4" s="66"/>
      <c r="M4" s="66"/>
      <c r="N4" s="66"/>
      <c r="O4" s="66"/>
      <c r="P4" s="66"/>
      <c r="Q4" s="66"/>
      <c r="R4" s="66"/>
      <c r="S4" s="66"/>
      <c r="T4" s="66"/>
      <c r="U4" s="66"/>
    </row>
    <row r="5" spans="1:27" x14ac:dyDescent="0.2">
      <c r="B5" s="687" t="s">
        <v>726</v>
      </c>
      <c r="D5" s="676" t="s">
        <v>1308</v>
      </c>
      <c r="F5" s="676" t="s">
        <v>1309</v>
      </c>
    </row>
    <row r="6" spans="1:27" x14ac:dyDescent="0.2">
      <c r="A6" t="s">
        <v>217</v>
      </c>
      <c r="B6" t="s">
        <v>218</v>
      </c>
      <c r="C6" s="7" t="s">
        <v>16</v>
      </c>
      <c r="D6" s="207">
        <v>651918</v>
      </c>
      <c r="E6" s="7" t="s">
        <v>16</v>
      </c>
      <c r="F6" s="55">
        <v>229169</v>
      </c>
      <c r="I6" t="s">
        <v>219</v>
      </c>
      <c r="J6" s="208" t="s">
        <v>24</v>
      </c>
      <c r="K6" s="209" t="s">
        <v>220</v>
      </c>
      <c r="L6" s="651"/>
      <c r="M6" s="650"/>
      <c r="N6" s="651"/>
      <c r="O6" s="650"/>
      <c r="P6" s="210"/>
      <c r="Q6" s="211"/>
      <c r="T6" s="24">
        <v>27</v>
      </c>
      <c r="U6" s="819"/>
      <c r="V6" s="819"/>
      <c r="W6" s="819"/>
      <c r="X6" s="819"/>
      <c r="Y6" s="819"/>
      <c r="Z6" s="819"/>
      <c r="AA6" s="819"/>
    </row>
    <row r="7" spans="1:27" x14ac:dyDescent="0.2">
      <c r="D7" s="213"/>
      <c r="F7" s="213"/>
      <c r="J7" s="208" t="s">
        <v>26</v>
      </c>
      <c r="K7" s="209" t="s">
        <v>221</v>
      </c>
      <c r="L7" s="651"/>
      <c r="M7" s="650"/>
      <c r="N7" s="651"/>
      <c r="O7" s="650"/>
      <c r="P7" s="210"/>
      <c r="Q7" s="211"/>
      <c r="T7" s="24">
        <v>2</v>
      </c>
      <c r="AA7" s="214" t="str">
        <f>IF(OR(CashBal="",F9="",G9="",F10="",G10="",G14="",G15="",G16="",G17="",G18="",G19="",F23="",F24="",F25="",F26="",F27="",F28="",G33="",G34="",G35="",G36="",G38="",G40=""),"yes","")</f>
        <v/>
      </c>
    </row>
    <row r="8" spans="1:27" x14ac:dyDescent="0.2">
      <c r="A8" t="s">
        <v>222</v>
      </c>
      <c r="B8" s="209" t="s">
        <v>223</v>
      </c>
      <c r="C8" s="7"/>
      <c r="E8" s="7"/>
      <c r="F8" s="578" t="s">
        <v>98</v>
      </c>
      <c r="G8" s="578" t="s">
        <v>23</v>
      </c>
      <c r="J8" s="208" t="s">
        <v>28</v>
      </c>
      <c r="K8" s="209" t="s">
        <v>224</v>
      </c>
      <c r="L8" s="651"/>
      <c r="M8" s="650"/>
      <c r="N8" s="651"/>
      <c r="O8" s="650"/>
      <c r="P8" s="210"/>
      <c r="Q8" s="211"/>
      <c r="T8" s="27">
        <v>0</v>
      </c>
      <c r="AA8" s="214" t="str">
        <f>IF(OR(T6="",T7="",T8="",T9="",T10="",T11="",T12="",T13="",T29=""),"yes","")</f>
        <v/>
      </c>
    </row>
    <row r="9" spans="1:27" x14ac:dyDescent="0.2">
      <c r="B9" t="s">
        <v>225</v>
      </c>
      <c r="C9" s="7"/>
      <c r="E9" s="7"/>
      <c r="F9" s="51">
        <v>1854</v>
      </c>
      <c r="G9" s="51">
        <v>2298</v>
      </c>
      <c r="J9" s="215" t="s">
        <v>31</v>
      </c>
      <c r="K9" t="s">
        <v>226</v>
      </c>
      <c r="T9" s="25">
        <v>1</v>
      </c>
      <c r="AA9" s="214" t="str">
        <f>IF(OR(M19="",P19="",R19="",S19="",T19="",M20="",P20="",R20="",S20="",T20="",M21="",P21="",R21="",S21="",T21="",M22="",P22="",R22="",S22="",T22="",M24="",P24="",R24="",S24="",T24=""),"yes","")</f>
        <v/>
      </c>
    </row>
    <row r="10" spans="1:27" ht="13.5" thickBot="1" x14ac:dyDescent="0.25">
      <c r="B10" t="s">
        <v>227</v>
      </c>
      <c r="F10" s="54">
        <v>742</v>
      </c>
      <c r="G10" s="54">
        <v>460</v>
      </c>
      <c r="J10" s="215" t="s">
        <v>33</v>
      </c>
      <c r="K10" t="s">
        <v>228</v>
      </c>
      <c r="T10" s="24">
        <v>180</v>
      </c>
      <c r="AA10" s="214" t="str">
        <f>IF(AND(AA7="",AA8="",AA9=""),"","yes")</f>
        <v/>
      </c>
    </row>
    <row r="11" spans="1:27" ht="13.5" thickBot="1" x14ac:dyDescent="0.25">
      <c r="B11" t="s">
        <v>229</v>
      </c>
      <c r="F11" s="217">
        <f>SUM(F9:F10)</f>
        <v>2596</v>
      </c>
      <c r="G11" s="217">
        <f>SUM(G9:G10)</f>
        <v>2758</v>
      </c>
      <c r="J11" s="88" t="s">
        <v>35</v>
      </c>
      <c r="K11" t="s">
        <v>230</v>
      </c>
      <c r="S11" s="7" t="s">
        <v>16</v>
      </c>
      <c r="T11" s="25">
        <v>0</v>
      </c>
    </row>
    <row r="12" spans="1:27" ht="13.5" thickTop="1" x14ac:dyDescent="0.2">
      <c r="J12" s="88" t="s">
        <v>36</v>
      </c>
      <c r="K12" t="s">
        <v>231</v>
      </c>
      <c r="S12" s="7" t="s">
        <v>16</v>
      </c>
      <c r="T12" s="25">
        <v>0</v>
      </c>
    </row>
    <row r="13" spans="1:27" x14ac:dyDescent="0.2">
      <c r="A13" t="s">
        <v>232</v>
      </c>
      <c r="B13" s="209" t="s">
        <v>233</v>
      </c>
      <c r="F13" s="578" t="s">
        <v>98</v>
      </c>
      <c r="G13" s="578" t="s">
        <v>23</v>
      </c>
      <c r="J13" s="88" t="s">
        <v>38</v>
      </c>
      <c r="K13" t="s">
        <v>234</v>
      </c>
      <c r="S13" s="7" t="s">
        <v>16</v>
      </c>
      <c r="T13" s="571">
        <v>15102</v>
      </c>
    </row>
    <row r="14" spans="1:27" x14ac:dyDescent="0.2">
      <c r="B14" t="s">
        <v>235</v>
      </c>
      <c r="F14" s="547">
        <f>[1]!CA0181IntangibleAssets</f>
        <v>0</v>
      </c>
      <c r="G14" s="49">
        <v>0</v>
      </c>
      <c r="J14" s="88"/>
      <c r="T14" s="7"/>
      <c r="U14" s="218"/>
    </row>
    <row r="15" spans="1:27" x14ac:dyDescent="0.2">
      <c r="B15" t="s">
        <v>236</v>
      </c>
      <c r="F15" s="547">
        <f>[1]!CA0191Land</f>
        <v>0</v>
      </c>
      <c r="G15" s="49">
        <v>0</v>
      </c>
    </row>
    <row r="16" spans="1:27" ht="12.75" customHeight="1" x14ac:dyDescent="0.2">
      <c r="B16" t="s">
        <v>237</v>
      </c>
      <c r="F16" s="547">
        <f>[1]!CA0192SiteImprovements</f>
        <v>0</v>
      </c>
      <c r="G16" s="49">
        <v>0</v>
      </c>
      <c r="M16" s="855" t="s">
        <v>238</v>
      </c>
      <c r="N16" s="856"/>
      <c r="O16" s="857"/>
      <c r="P16" s="855" t="s">
        <v>239</v>
      </c>
      <c r="Q16" s="857"/>
      <c r="R16" s="219" t="s">
        <v>238</v>
      </c>
      <c r="S16" s="219" t="s">
        <v>239</v>
      </c>
      <c r="T16" s="219" t="s">
        <v>240</v>
      </c>
      <c r="V16" s="8"/>
      <c r="W16" s="8"/>
    </row>
    <row r="17" spans="1:21" ht="12.75" customHeight="1" x14ac:dyDescent="0.2">
      <c r="B17" t="s">
        <v>241</v>
      </c>
      <c r="F17" s="547">
        <f>[1]!CA0194Buildings</f>
        <v>0</v>
      </c>
      <c r="G17" s="49">
        <v>0</v>
      </c>
      <c r="I17" t="s">
        <v>242</v>
      </c>
      <c r="J17" s="209" t="s">
        <v>243</v>
      </c>
      <c r="K17" s="209"/>
      <c r="L17" s="209"/>
      <c r="M17" s="864" t="s">
        <v>244</v>
      </c>
      <c r="N17" s="880"/>
      <c r="O17" s="865"/>
      <c r="P17" s="864" t="s">
        <v>244</v>
      </c>
      <c r="Q17" s="865"/>
      <c r="R17" s="220" t="s">
        <v>245</v>
      </c>
      <c r="S17" s="220" t="s">
        <v>245</v>
      </c>
      <c r="T17" s="220" t="s">
        <v>244</v>
      </c>
    </row>
    <row r="18" spans="1:21" ht="12.75" customHeight="1" x14ac:dyDescent="0.2">
      <c r="B18" t="s">
        <v>246</v>
      </c>
      <c r="F18" s="547">
        <f>[1]!CA0196Equipment</f>
        <v>0</v>
      </c>
      <c r="G18" s="49">
        <v>0</v>
      </c>
      <c r="J18" s="209" t="s">
        <v>247</v>
      </c>
      <c r="K18" s="209"/>
      <c r="L18" s="209"/>
      <c r="M18" s="875" t="s">
        <v>248</v>
      </c>
      <c r="N18" s="881"/>
      <c r="O18" s="876"/>
      <c r="P18" s="875" t="s">
        <v>249</v>
      </c>
      <c r="Q18" s="876"/>
      <c r="R18" s="221" t="s">
        <v>250</v>
      </c>
      <c r="S18" s="221" t="s">
        <v>251</v>
      </c>
      <c r="T18" s="221" t="s">
        <v>252</v>
      </c>
    </row>
    <row r="19" spans="1:21" ht="12.75" customHeight="1" thickBot="1" x14ac:dyDescent="0.25">
      <c r="B19" s="209" t="s">
        <v>253</v>
      </c>
      <c r="F19" s="216">
        <f>[1]!CA0198CIP</f>
        <v>0</v>
      </c>
      <c r="G19" s="53">
        <v>0</v>
      </c>
      <c r="J19" s="208" t="s">
        <v>24</v>
      </c>
      <c r="K19" s="209" t="s">
        <v>254</v>
      </c>
      <c r="L19" s="209"/>
      <c r="M19" s="861">
        <f>1050786.49+14730</f>
        <v>1065516</v>
      </c>
      <c r="N19" s="862"/>
      <c r="O19" s="863"/>
      <c r="P19" s="861">
        <v>82359</v>
      </c>
      <c r="Q19" s="862"/>
      <c r="R19" s="28">
        <f>485.28+856.25</f>
        <v>1342</v>
      </c>
      <c r="S19" s="28">
        <v>0</v>
      </c>
      <c r="T19" s="28">
        <v>71753</v>
      </c>
    </row>
    <row r="20" spans="1:21" ht="13.5" customHeight="1" thickBot="1" x14ac:dyDescent="0.25">
      <c r="B20" t="s">
        <v>255</v>
      </c>
      <c r="F20" s="537">
        <f>SUM(F14:F19)</f>
        <v>0</v>
      </c>
      <c r="G20" s="217">
        <f>SUM(G14:G19)</f>
        <v>0</v>
      </c>
      <c r="J20" s="208" t="s">
        <v>26</v>
      </c>
      <c r="K20" s="209" t="s">
        <v>256</v>
      </c>
      <c r="L20" s="209"/>
      <c r="M20" s="861">
        <f>164710.57+33593.62</f>
        <v>198304</v>
      </c>
      <c r="N20" s="862"/>
      <c r="O20" s="863"/>
      <c r="P20" s="861">
        <v>0</v>
      </c>
      <c r="Q20" s="862"/>
      <c r="R20" s="28">
        <v>0</v>
      </c>
      <c r="S20" s="28">
        <v>0</v>
      </c>
      <c r="T20" s="28">
        <v>5895</v>
      </c>
    </row>
    <row r="21" spans="1:21" ht="13.5" thickTop="1" x14ac:dyDescent="0.2">
      <c r="J21" s="208" t="s">
        <v>28</v>
      </c>
      <c r="K21" s="209" t="s">
        <v>257</v>
      </c>
      <c r="L21" s="209"/>
      <c r="M21" s="861">
        <v>0</v>
      </c>
      <c r="N21" s="862"/>
      <c r="O21" s="863"/>
      <c r="P21" s="861">
        <v>0</v>
      </c>
      <c r="Q21" s="862"/>
      <c r="R21" s="28">
        <v>0</v>
      </c>
      <c r="S21" s="28">
        <v>0</v>
      </c>
      <c r="T21" s="28">
        <v>0</v>
      </c>
      <c r="U21" s="218"/>
    </row>
    <row r="22" spans="1:21" ht="13.5" customHeight="1" x14ac:dyDescent="0.2">
      <c r="A22" t="s">
        <v>258</v>
      </c>
      <c r="B22" s="209" t="s">
        <v>1320</v>
      </c>
      <c r="C22" s="223"/>
      <c r="D22" s="223"/>
      <c r="E22" s="209"/>
      <c r="F22" s="209"/>
      <c r="J22" s="208" t="s">
        <v>31</v>
      </c>
      <c r="K22" s="209" t="s">
        <v>259</v>
      </c>
      <c r="L22" s="209"/>
      <c r="M22" s="877">
        <v>0</v>
      </c>
      <c r="N22" s="878"/>
      <c r="O22" s="879"/>
      <c r="P22" s="861">
        <v>0</v>
      </c>
      <c r="Q22" s="863"/>
      <c r="R22" s="28">
        <v>0</v>
      </c>
      <c r="S22" s="28">
        <v>0</v>
      </c>
      <c r="T22" s="28">
        <v>0</v>
      </c>
      <c r="U22" s="218"/>
    </row>
    <row r="23" spans="1:21" ht="13.5" customHeight="1" x14ac:dyDescent="0.2">
      <c r="B23" t="s">
        <v>235</v>
      </c>
      <c r="E23" s="7" t="s">
        <v>16</v>
      </c>
      <c r="F23" s="24">
        <v>0</v>
      </c>
      <c r="J23" s="208" t="s">
        <v>33</v>
      </c>
      <c r="K23" s="858" t="s">
        <v>260</v>
      </c>
      <c r="L23" s="859"/>
      <c r="M23" s="224"/>
      <c r="N23" s="225"/>
      <c r="O23" s="226"/>
      <c r="P23" s="225"/>
      <c r="Q23" s="226"/>
      <c r="R23" s="227"/>
      <c r="S23" s="227"/>
      <c r="T23" s="227"/>
      <c r="U23" s="218"/>
    </row>
    <row r="24" spans="1:21" ht="13.5" customHeight="1" x14ac:dyDescent="0.2">
      <c r="B24" t="s">
        <v>236</v>
      </c>
      <c r="E24" s="7" t="s">
        <v>16</v>
      </c>
      <c r="F24" s="24">
        <v>0</v>
      </c>
      <c r="J24" s="228"/>
      <c r="K24" s="858"/>
      <c r="L24" s="859"/>
      <c r="M24" s="872">
        <f>3156.3+5500</f>
        <v>8656</v>
      </c>
      <c r="N24" s="873"/>
      <c r="O24" s="874"/>
      <c r="P24" s="872">
        <v>0</v>
      </c>
      <c r="Q24" s="873"/>
      <c r="R24" s="29">
        <v>0</v>
      </c>
      <c r="S24" s="29">
        <v>0</v>
      </c>
      <c r="T24" s="29">
        <v>0</v>
      </c>
      <c r="U24" s="218"/>
    </row>
    <row r="25" spans="1:21" ht="13.5" customHeight="1" x14ac:dyDescent="0.2">
      <c r="B25" t="s">
        <v>237</v>
      </c>
      <c r="E25" s="7" t="s">
        <v>16</v>
      </c>
      <c r="F25" s="24">
        <v>0</v>
      </c>
      <c r="M25" s="26"/>
      <c r="N25" s="26"/>
      <c r="O25" s="26"/>
      <c r="P25" s="26"/>
      <c r="Q25" s="26"/>
      <c r="R25" s="26"/>
      <c r="S25" s="26"/>
      <c r="T25" s="26"/>
      <c r="U25" s="26"/>
    </row>
    <row r="26" spans="1:21" ht="13.5" customHeight="1" x14ac:dyDescent="0.2">
      <c r="B26" t="s">
        <v>241</v>
      </c>
      <c r="E26" s="7" t="s">
        <v>16</v>
      </c>
      <c r="F26" s="25">
        <v>0</v>
      </c>
      <c r="M26" s="218"/>
      <c r="N26" s="218"/>
      <c r="O26" s="218"/>
      <c r="P26" s="218"/>
      <c r="Q26" s="218"/>
      <c r="R26" s="218"/>
      <c r="S26" s="218"/>
      <c r="T26" s="218"/>
      <c r="U26" s="218"/>
    </row>
    <row r="27" spans="1:21" ht="15.75" customHeight="1" thickBot="1" x14ac:dyDescent="0.25">
      <c r="B27" t="s">
        <v>246</v>
      </c>
      <c r="E27" s="7" t="s">
        <v>16</v>
      </c>
      <c r="F27" s="24">
        <v>0</v>
      </c>
      <c r="I27" t="s">
        <v>261</v>
      </c>
      <c r="J27" s="209" t="s">
        <v>262</v>
      </c>
      <c r="K27" s="229"/>
      <c r="L27" s="229"/>
      <c r="M27" s="229"/>
      <c r="N27" s="229"/>
      <c r="O27" s="229"/>
      <c r="P27" s="229"/>
      <c r="Q27" s="229"/>
      <c r="R27" s="229"/>
      <c r="S27" s="545"/>
    </row>
    <row r="28" spans="1:21" ht="13.5" customHeight="1" thickBot="1" x14ac:dyDescent="0.3">
      <c r="B28" s="209" t="s">
        <v>253</v>
      </c>
      <c r="E28" s="7" t="s">
        <v>16</v>
      </c>
      <c r="F28" s="24">
        <v>0</v>
      </c>
      <c r="I28" s="88"/>
      <c r="K28" s="30"/>
      <c r="L28" s="667" t="s">
        <v>1310</v>
      </c>
      <c r="M28" s="230"/>
      <c r="N28" s="230"/>
      <c r="O28" s="230"/>
      <c r="P28" s="230"/>
      <c r="Q28" s="230"/>
      <c r="U28" s="545"/>
    </row>
    <row r="29" spans="1:21" ht="13.5" customHeight="1" thickBot="1" x14ac:dyDescent="0.25">
      <c r="B29" t="s">
        <v>263</v>
      </c>
      <c r="E29" s="7" t="s">
        <v>16</v>
      </c>
      <c r="F29" s="231">
        <f>SUM(F23:F28)</f>
        <v>0</v>
      </c>
      <c r="I29" s="88"/>
      <c r="J29" t="s">
        <v>24</v>
      </c>
      <c r="K29" s="667" t="s">
        <v>1311</v>
      </c>
      <c r="N29" s="232"/>
      <c r="S29" s="7" t="s">
        <v>16</v>
      </c>
      <c r="T29" s="56">
        <v>67223</v>
      </c>
      <c r="U29" s="545"/>
    </row>
    <row r="30" spans="1:21" ht="13.5" thickTop="1" x14ac:dyDescent="0.2">
      <c r="I30" s="88"/>
      <c r="J30" t="s">
        <v>26</v>
      </c>
      <c r="K30" s="667" t="s">
        <v>1312</v>
      </c>
      <c r="L30" s="154"/>
      <c r="M30" s="154"/>
      <c r="S30" s="7" t="s">
        <v>16</v>
      </c>
      <c r="T30" s="233">
        <v>66241</v>
      </c>
      <c r="U30" s="545"/>
    </row>
    <row r="31" spans="1:21" x14ac:dyDescent="0.2">
      <c r="A31" t="s">
        <v>264</v>
      </c>
      <c r="B31" s="209" t="s">
        <v>265</v>
      </c>
      <c r="C31" s="209"/>
      <c r="D31" s="209"/>
      <c r="E31" s="234"/>
      <c r="J31" t="s">
        <v>28</v>
      </c>
      <c r="K31" s="667" t="s">
        <v>1313</v>
      </c>
      <c r="L31" s="154"/>
      <c r="M31" s="154"/>
      <c r="S31" s="7" t="s">
        <v>16</v>
      </c>
      <c r="T31" s="235">
        <f>T29-T30</f>
        <v>982</v>
      </c>
      <c r="U31" s="545"/>
    </row>
    <row r="32" spans="1:21" ht="13.5" thickBot="1" x14ac:dyDescent="0.25">
      <c r="B32" t="s">
        <v>266</v>
      </c>
      <c r="F32" s="7"/>
      <c r="G32" s="26"/>
      <c r="J32" s="236" t="s">
        <v>31</v>
      </c>
      <c r="K32" t="s">
        <v>267</v>
      </c>
      <c r="L32" s="237"/>
      <c r="M32" s="237"/>
      <c r="P32" s="114"/>
      <c r="Q32" s="114"/>
      <c r="R32" s="114"/>
      <c r="S32" s="7" t="s">
        <v>16</v>
      </c>
      <c r="T32" s="238">
        <f>IF(PriorYearSalary&gt;0,T31/T30,0)</f>
        <v>1.4999999999999999E-2</v>
      </c>
      <c r="U32" s="545"/>
    </row>
    <row r="33" spans="1:21" ht="13.5" customHeight="1" thickTop="1" x14ac:dyDescent="0.2">
      <c r="B33" t="s">
        <v>268</v>
      </c>
      <c r="F33" s="7" t="s">
        <v>16</v>
      </c>
      <c r="G33" s="24">
        <v>2041067</v>
      </c>
      <c r="H33" s="825" t="str">
        <f>IF('Page 2'!J48=0,"",IF(OR(G36&lt;=0),"The Charter did not report any current expenses for student support services on line 4. If the Charter did not have any expense, verify by checking the box in A16 on the Cover Page.",""))</f>
        <v/>
      </c>
      <c r="I33" s="825"/>
      <c r="J33" s="825"/>
      <c r="K33" s="825"/>
      <c r="L33" s="825"/>
      <c r="M33" s="825"/>
      <c r="N33" s="825"/>
      <c r="O33" s="825"/>
      <c r="P33" s="825"/>
      <c r="Q33" s="825"/>
      <c r="R33" s="825"/>
      <c r="S33" s="825"/>
      <c r="T33" s="8"/>
      <c r="U33" s="8"/>
    </row>
    <row r="34" spans="1:21" ht="13.5" customHeight="1" x14ac:dyDescent="0.2">
      <c r="B34" t="s">
        <v>269</v>
      </c>
      <c r="C34" s="234"/>
      <c r="D34" s="234"/>
      <c r="E34" s="234"/>
      <c r="F34" s="7" t="s">
        <v>16</v>
      </c>
      <c r="G34" s="24">
        <v>101225</v>
      </c>
      <c r="H34" s="825"/>
      <c r="I34" s="825"/>
      <c r="J34" s="825"/>
      <c r="K34" s="825"/>
      <c r="L34" s="825"/>
      <c r="M34" s="825"/>
      <c r="N34" s="825"/>
      <c r="O34" s="825"/>
      <c r="P34" s="825"/>
      <c r="Q34" s="825"/>
      <c r="R34" s="825"/>
      <c r="S34" s="825"/>
      <c r="T34" s="8"/>
      <c r="U34" s="8"/>
    </row>
    <row r="35" spans="1:21" x14ac:dyDescent="0.2">
      <c r="B35" t="s">
        <v>270</v>
      </c>
      <c r="C35" s="234"/>
      <c r="D35" s="234"/>
      <c r="E35" s="234"/>
      <c r="F35" s="7" t="s">
        <v>16</v>
      </c>
      <c r="G35" s="25">
        <v>738861</v>
      </c>
      <c r="K35" t="s">
        <v>271</v>
      </c>
    </row>
    <row r="36" spans="1:21" x14ac:dyDescent="0.2">
      <c r="B36" t="s">
        <v>272</v>
      </c>
      <c r="C36" s="234"/>
      <c r="D36" s="234"/>
      <c r="E36" s="234"/>
      <c r="F36" s="7" t="s">
        <v>16</v>
      </c>
      <c r="G36" s="24">
        <v>483385</v>
      </c>
      <c r="K36" s="866"/>
      <c r="L36" s="867"/>
      <c r="M36" s="867"/>
      <c r="N36" s="867"/>
      <c r="O36" s="867"/>
      <c r="P36" s="867"/>
      <c r="Q36" s="867"/>
      <c r="R36" s="867"/>
      <c r="S36" s="867"/>
      <c r="T36" s="868"/>
    </row>
    <row r="37" spans="1:21" ht="15" x14ac:dyDescent="0.25">
      <c r="A37" s="239"/>
      <c r="B37" t="s">
        <v>273</v>
      </c>
      <c r="E37" s="234"/>
      <c r="F37" s="7"/>
      <c r="G37" s="26"/>
      <c r="K37" s="869"/>
      <c r="L37" s="870"/>
      <c r="M37" s="870"/>
      <c r="N37" s="870"/>
      <c r="O37" s="870"/>
      <c r="P37" s="870"/>
      <c r="Q37" s="870"/>
      <c r="R37" s="870"/>
      <c r="S37" s="870"/>
      <c r="T37" s="871"/>
    </row>
    <row r="38" spans="1:21" ht="15" x14ac:dyDescent="0.25">
      <c r="A38" s="239"/>
      <c r="B38" t="s">
        <v>274</v>
      </c>
      <c r="E38" s="234"/>
      <c r="F38" s="7" t="s">
        <v>16</v>
      </c>
      <c r="G38" s="24">
        <v>1453724</v>
      </c>
      <c r="J38" s="215"/>
      <c r="K38" s="545"/>
      <c r="S38" s="7"/>
      <c r="T38" s="240"/>
    </row>
    <row r="39" spans="1:21" ht="15.75" thickBot="1" x14ac:dyDescent="0.3">
      <c r="A39" s="239"/>
      <c r="B39" s="88" t="s">
        <v>275</v>
      </c>
      <c r="F39" s="7" t="s">
        <v>16</v>
      </c>
      <c r="G39" s="231">
        <f>SUM(G33:G38)</f>
        <v>4818262</v>
      </c>
    </row>
    <row r="40" spans="1:21" ht="13.5" customHeight="1" thickTop="1" x14ac:dyDescent="0.2">
      <c r="B40" s="854" t="s">
        <v>276</v>
      </c>
      <c r="C40" s="854"/>
      <c r="D40" s="854"/>
      <c r="E40" s="854"/>
      <c r="F40" s="7" t="s">
        <v>16</v>
      </c>
      <c r="G40" s="24">
        <v>56308</v>
      </c>
    </row>
    <row r="41" spans="1:21" x14ac:dyDescent="0.2">
      <c r="B41" s="860" t="s">
        <v>277</v>
      </c>
      <c r="C41" s="860"/>
      <c r="D41" s="860"/>
      <c r="E41" s="860"/>
      <c r="F41" s="7" t="s">
        <v>16</v>
      </c>
      <c r="G41" s="212">
        <f>G39-G40</f>
        <v>4761954</v>
      </c>
    </row>
  </sheetData>
  <sheetProtection formatCells="0" formatColumns="0" formatRows="0"/>
  <mergeCells count="23">
    <mergeCell ref="C1:F1"/>
    <mergeCell ref="P16:Q16"/>
    <mergeCell ref="P21:Q21"/>
    <mergeCell ref="M22:O22"/>
    <mergeCell ref="P22:Q22"/>
    <mergeCell ref="M17:O17"/>
    <mergeCell ref="M18:O18"/>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s>
  <conditionalFormatting sqref="F6 F9:F10">
    <cfRule type="expression" dxfId="60" priority="16" stopIfTrue="1">
      <formula>$F6=""</formula>
    </cfRule>
  </conditionalFormatting>
  <conditionalFormatting sqref="F23:F28">
    <cfRule type="expression" dxfId="59" priority="10" stopIfTrue="1">
      <formula>$F23=""</formula>
    </cfRule>
  </conditionalFormatting>
  <conditionalFormatting sqref="G9:G10">
    <cfRule type="expression" dxfId="58" priority="15" stopIfTrue="1">
      <formula>$G9=""</formula>
    </cfRule>
  </conditionalFormatting>
  <conditionalFormatting sqref="G14:G19">
    <cfRule type="expression" dxfId="57" priority="11" stopIfTrue="1">
      <formula>$G14=""</formula>
    </cfRule>
  </conditionalFormatting>
  <conditionalFormatting sqref="G33:G36 G38 G40">
    <cfRule type="expression" dxfId="56" priority="8" stopIfTrue="1">
      <formula>$G33=""</formula>
    </cfRule>
  </conditionalFormatting>
  <conditionalFormatting sqref="G36">
    <cfRule type="expression" dxfId="55" priority="9" stopIfTrue="1">
      <formula>$H$33&lt;&gt;""</formula>
    </cfRule>
  </conditionalFormatting>
  <conditionalFormatting sqref="H33">
    <cfRule type="expression" dxfId="54" priority="18" stopIfTrue="1">
      <formula>$H$33&lt;&gt;""</formula>
    </cfRule>
  </conditionalFormatting>
  <conditionalFormatting sqref="M19:T22">
    <cfRule type="expression" dxfId="53" priority="5" stopIfTrue="1">
      <formula>M19=""</formula>
    </cfRule>
  </conditionalFormatting>
  <conditionalFormatting sqref="M24:T24">
    <cfRule type="expression" dxfId="52" priority="6" stopIfTrue="1">
      <formula>M24=""</formula>
    </cfRule>
  </conditionalFormatting>
  <conditionalFormatting sqref="T6:T13">
    <cfRule type="expression" dxfId="51" priority="7" stopIfTrue="1">
      <formula>$T6=""</formula>
    </cfRule>
  </conditionalFormatting>
  <conditionalFormatting sqref="T29:T30">
    <cfRule type="expression" dxfId="50" priority="14" stopIfTrue="1">
      <formula>$T29=""</formula>
    </cfRule>
  </conditionalFormatting>
  <dataValidations count="1">
    <dataValidation type="list" allowBlank="1" showInputMessage="1" showErrorMessage="1" sqref="K28" xr:uid="{00000000-0002-0000-0700-000000000000}">
      <formula1>"X"</formula1>
    </dataValidation>
  </dataValidations>
  <hyperlinks>
    <hyperlink ref="B8" location="AuditServices" display="AUDIT SERVICES" xr:uid="{00000000-0004-0000-0700-000000000000}"/>
    <hyperlink ref="B13" location="CapitalAcquisitions" display="CAPITAL ACQUISITIONS" xr:uid="{00000000-0004-0000-0700-000001000000}"/>
    <hyperlink ref="B22:F22" location="InvestmentInCapitalAssets" display="INVESTMENT IN CAPITAL ASSETS AS OF JUNE 30, 2013" xr:uid="{00000000-0004-0000-0700-000002000000}"/>
    <hyperlink ref="B31:D31" location="CurrentExpensesByCategory" display="CURRENT EXPENSES BY CATEGORY" xr:uid="{00000000-0004-0000-0700-000003000000}"/>
    <hyperlink ref="J17:L18" location="TeacherSalaries" display="TEACHER SALARIES (1)" xr:uid="{00000000-0004-0000-0700-000004000000}"/>
    <hyperlink ref="J19:L19" location="TeacherSalariesLine1" display="1." xr:uid="{00000000-0004-0000-0700-000005000000}"/>
    <hyperlink ref="J20:L20" location="TeacherSalariesLine2" display="2." xr:uid="{00000000-0004-0000-0700-000006000000}"/>
    <hyperlink ref="J21:L21" location="TeacherSalariesLine3" display="3." xr:uid="{00000000-0004-0000-0700-000007000000}"/>
    <hyperlink ref="J22:L22" location="TeacherSalariesLine4" display="4." xr:uid="{00000000-0004-0000-0700-000008000000}"/>
    <hyperlink ref="B19" location="CapitalAcquisitionsLine5" display="5.  0198  Construction in Progress" xr:uid="{00000000-0004-0000-0700-000009000000}"/>
    <hyperlink ref="B28" location="InvestmentInCapitalAssetsLine5" display="5.  0198  Construction in Progress" xr:uid="{00000000-0004-0000-0700-00000A000000}"/>
    <hyperlink ref="B40:D40" location="CurrentExpensesbyCategoryLines7and8" display="7. Current Expenses from Federal Projects, excluding those projects intended to replace local tax revenues (e.g., most Impact Aid Projects)" xr:uid="{00000000-0004-0000-0700-00000C000000}"/>
    <hyperlink ref="B41:E41" location="CurrentExpensesbyCategoryLines7and8" display="8. Current Expenses from State and Local Projects, including those projects intended to replace local tax revenues (e.g., most Impact Aid Projects)" xr:uid="{00000000-0004-0000-0700-00000D000000}"/>
    <hyperlink ref="K23:L24" location="TeacherSalariesLine5" display="Cocurr. Act., Athletics, &amp; Other (Program 600)" xr:uid="{00000000-0004-0000-0700-00000E000000}"/>
    <hyperlink ref="J27:R27" location="AverageTeacherSalary" display="AVERAGE TEACHER SALARY (A.R.S. §15-189.05, as added by Laws 2018, Ch. 285, §3)" xr:uid="{00000000-0004-0000-0700-00000F000000}"/>
    <hyperlink ref="J23" location="TeacherSalariesLine5" display="5." xr:uid="{00000000-0004-0000-0700-000010000000}"/>
    <hyperlink ref="B5" location="AuditServices" display="Instructions" xr:uid="{CB891C10-CC7D-4CE2-8277-7C44496949B8}"/>
    <hyperlink ref="J6:Q8" location="FullTimeEquivalentTeachers" display="1." xr:uid="{00000000-0004-0000-0700-00000B000000}"/>
  </hyperlinks>
  <pageMargins left="0.7" right="0.7" top="0.75" bottom="0.75" header="0.3" footer="0.3"/>
  <pageSetup scale="62" orientation="landscape" r:id="rId1"/>
  <headerFooter>
    <oddFooter>&amp;LRev. 8/25 Arizona Department of Education and Auditor General&amp;CFY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26"/>
  <sheetViews>
    <sheetView showGridLines="0" workbookViewId="0">
      <selection activeCell="S16" sqref="S16"/>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19" width="10.83203125" customWidth="1"/>
    <col min="20" max="20" width="10.33203125" customWidth="1"/>
    <col min="21" max="22" width="11" customWidth="1"/>
    <col min="23" max="23" width="3.83203125" customWidth="1"/>
    <col min="24" max="24" width="9.33203125" customWidth="1"/>
  </cols>
  <sheetData>
    <row r="1" spans="1:27" ht="12.75" customHeight="1" x14ac:dyDescent="0.2">
      <c r="A1" s="546" t="s">
        <v>0</v>
      </c>
      <c r="D1" s="813" t="str">
        <f>'Cover Page'!D1</f>
        <v>ASU Preparatory Academy- Polytechnic MS</v>
      </c>
      <c r="E1" s="813"/>
      <c r="F1" s="813"/>
      <c r="G1" s="813"/>
      <c r="K1" s="59" t="s">
        <v>1</v>
      </c>
      <c r="L1" s="813" t="str">
        <f>'Cover Page'!M1</f>
        <v>Maricopa</v>
      </c>
      <c r="M1" s="813"/>
      <c r="P1" s="66"/>
      <c r="U1" s="59" t="s">
        <v>2</v>
      </c>
      <c r="V1" s="205" t="str">
        <f>'Cover Page'!R1</f>
        <v>078251000</v>
      </c>
    </row>
    <row r="2" spans="1:27" ht="12.75" customHeight="1" x14ac:dyDescent="0.2">
      <c r="Q2" s="66"/>
      <c r="T2" s="66"/>
    </row>
    <row r="3" spans="1:27" ht="12.75" customHeight="1" x14ac:dyDescent="0.2">
      <c r="A3" s="3" t="s">
        <v>278</v>
      </c>
      <c r="B3" s="4"/>
      <c r="C3" s="4"/>
      <c r="F3" s="893" t="s">
        <v>726</v>
      </c>
      <c r="G3" s="893"/>
      <c r="H3" s="893"/>
      <c r="K3" s="66"/>
      <c r="O3" s="66"/>
      <c r="P3" s="66"/>
      <c r="Q3" s="66"/>
      <c r="R3" s="66"/>
      <c r="S3" s="66"/>
      <c r="T3" s="66"/>
      <c r="U3" s="66"/>
      <c r="Y3" s="59"/>
    </row>
    <row r="4" spans="1:27" ht="6" customHeight="1" x14ac:dyDescent="0.2"/>
    <row r="5" spans="1:27" ht="12.75" customHeight="1" x14ac:dyDescent="0.2">
      <c r="A5" t="s">
        <v>279</v>
      </c>
    </row>
    <row r="6" spans="1:27" ht="12.75" customHeight="1" x14ac:dyDescent="0.2">
      <c r="E6" s="831" t="s">
        <v>280</v>
      </c>
      <c r="F6" s="846"/>
      <c r="G6" s="846"/>
      <c r="H6" s="846"/>
      <c r="I6" s="846"/>
      <c r="J6" s="846"/>
      <c r="K6" s="846"/>
      <c r="L6" s="846"/>
      <c r="M6" s="846"/>
      <c r="N6" s="846"/>
      <c r="O6" s="846"/>
      <c r="P6" s="846"/>
      <c r="Q6" s="846"/>
      <c r="R6" s="832"/>
    </row>
    <row r="7" spans="1:27" ht="12.75" customHeight="1" x14ac:dyDescent="0.2">
      <c r="B7" t="s">
        <v>281</v>
      </c>
      <c r="E7" s="578" t="s">
        <v>282</v>
      </c>
      <c r="F7" s="578">
        <v>1</v>
      </c>
      <c r="G7" s="578">
        <v>2</v>
      </c>
      <c r="H7" s="578">
        <v>3</v>
      </c>
      <c r="I7" s="578">
        <v>4</v>
      </c>
      <c r="J7" s="578">
        <v>5</v>
      </c>
      <c r="K7" s="578">
        <v>6</v>
      </c>
      <c r="L7" s="578">
        <v>7</v>
      </c>
      <c r="M7" s="578">
        <v>8</v>
      </c>
      <c r="N7" s="578">
        <v>9</v>
      </c>
      <c r="O7" s="578">
        <v>10</v>
      </c>
      <c r="P7" s="578">
        <v>11</v>
      </c>
      <c r="Q7" s="578">
        <v>12</v>
      </c>
      <c r="R7" s="578" t="s">
        <v>283</v>
      </c>
      <c r="S7" s="4"/>
      <c r="T7" s="4"/>
      <c r="AA7" s="48"/>
    </row>
    <row r="8" spans="1:27" ht="12.75" customHeight="1" x14ac:dyDescent="0.2">
      <c r="B8" t="s">
        <v>284</v>
      </c>
      <c r="E8" s="49">
        <v>0</v>
      </c>
      <c r="F8" s="49">
        <v>0</v>
      </c>
      <c r="G8" s="49">
        <v>0</v>
      </c>
      <c r="H8" s="49">
        <v>0</v>
      </c>
      <c r="I8" s="49">
        <v>0</v>
      </c>
      <c r="J8" s="49">
        <v>6</v>
      </c>
      <c r="K8" s="49">
        <v>4</v>
      </c>
      <c r="L8" s="49">
        <v>4</v>
      </c>
      <c r="M8" s="49">
        <v>0</v>
      </c>
      <c r="N8" s="49">
        <v>0</v>
      </c>
      <c r="O8" s="49">
        <v>0</v>
      </c>
      <c r="P8" s="49">
        <v>0</v>
      </c>
      <c r="Q8" s="49">
        <v>0</v>
      </c>
      <c r="R8" s="549">
        <f>SUM(E8:Q8)</f>
        <v>14</v>
      </c>
      <c r="S8" s="241" t="s">
        <v>24</v>
      </c>
      <c r="AA8" s="48" t="str">
        <f>IF(OR(E8="",F8="",G8="",H8="",I8="",J8="",K8="",L8="",M8="",N8="",O8="",P8="",Q8="",E9="",F9="",G9="",H9="",I9="",J9="",K9="",L9="",M9="",N9="",O9="",P9="",Q9=""),"yes","")</f>
        <v/>
      </c>
    </row>
    <row r="9" spans="1:27" ht="12.75" customHeight="1" x14ac:dyDescent="0.2">
      <c r="B9" t="s">
        <v>285</v>
      </c>
      <c r="E9" s="49">
        <v>0</v>
      </c>
      <c r="F9" s="49">
        <v>0</v>
      </c>
      <c r="G9" s="49">
        <v>0</v>
      </c>
      <c r="H9" s="49">
        <v>0</v>
      </c>
      <c r="I9" s="49">
        <v>0</v>
      </c>
      <c r="J9" s="49">
        <v>2</v>
      </c>
      <c r="K9" s="49">
        <v>2</v>
      </c>
      <c r="L9" s="49">
        <v>8</v>
      </c>
      <c r="M9" s="49">
        <v>0</v>
      </c>
      <c r="N9" s="49">
        <v>0</v>
      </c>
      <c r="O9" s="49">
        <v>0</v>
      </c>
      <c r="P9" s="49">
        <v>0</v>
      </c>
      <c r="Q9" s="49">
        <v>0</v>
      </c>
      <c r="R9" s="549">
        <f>SUM(E9:Q9)</f>
        <v>12</v>
      </c>
      <c r="S9" s="241" t="s">
        <v>26</v>
      </c>
      <c r="AA9" s="48" t="str">
        <f>IF(OR(E10="",F10="",G10="",H10="",I10="",J10="",K10="",L10="",M10="",N10="",O10="",P10="",Q10=""),"yes","")</f>
        <v/>
      </c>
    </row>
    <row r="10" spans="1:27" ht="12.75" customHeight="1" thickBot="1" x14ac:dyDescent="0.25">
      <c r="B10" t="s">
        <v>286</v>
      </c>
      <c r="E10" s="49">
        <v>0</v>
      </c>
      <c r="F10" s="49">
        <v>0</v>
      </c>
      <c r="G10" s="49">
        <v>0</v>
      </c>
      <c r="H10" s="49">
        <v>0</v>
      </c>
      <c r="I10" s="49">
        <v>0</v>
      </c>
      <c r="J10" s="53">
        <v>6</v>
      </c>
      <c r="K10" s="53">
        <v>9</v>
      </c>
      <c r="L10" s="53">
        <v>2</v>
      </c>
      <c r="M10" s="49">
        <v>0</v>
      </c>
      <c r="N10" s="49">
        <v>0</v>
      </c>
      <c r="O10" s="49">
        <v>0</v>
      </c>
      <c r="P10" s="49">
        <v>0</v>
      </c>
      <c r="Q10" s="49">
        <v>0</v>
      </c>
      <c r="R10" s="222">
        <f>SUM(E10:Q10)</f>
        <v>17</v>
      </c>
      <c r="S10" s="241" t="s">
        <v>28</v>
      </c>
      <c r="AA10" s="48"/>
    </row>
    <row r="11" spans="1:27" ht="12.75" customHeight="1" x14ac:dyDescent="0.2">
      <c r="B11" t="s">
        <v>287</v>
      </c>
      <c r="E11" s="888">
        <f t="shared" ref="E11:Q11" si="0">SUM(E8:E10)</f>
        <v>0</v>
      </c>
      <c r="F11" s="888">
        <f t="shared" si="0"/>
        <v>0</v>
      </c>
      <c r="G11" s="888">
        <f t="shared" si="0"/>
        <v>0</v>
      </c>
      <c r="H11" s="888">
        <f t="shared" si="0"/>
        <v>0</v>
      </c>
      <c r="I11" s="888">
        <f t="shared" si="0"/>
        <v>0</v>
      </c>
      <c r="J11" s="888">
        <f t="shared" ref="J11" si="1">SUM(J8:J10)</f>
        <v>14</v>
      </c>
      <c r="K11" s="888">
        <f t="shared" si="0"/>
        <v>15</v>
      </c>
      <c r="L11" s="888">
        <f t="shared" si="0"/>
        <v>14</v>
      </c>
      <c r="M11" s="888">
        <f>SUM(M8:M10)</f>
        <v>0</v>
      </c>
      <c r="N11" s="888">
        <f t="shared" si="0"/>
        <v>0</v>
      </c>
      <c r="O11" s="888">
        <f t="shared" si="0"/>
        <v>0</v>
      </c>
      <c r="P11" s="888">
        <f t="shared" si="0"/>
        <v>0</v>
      </c>
      <c r="Q11" s="888">
        <f t="shared" si="0"/>
        <v>0</v>
      </c>
      <c r="R11" s="888">
        <f>SUM(E11:Q11)</f>
        <v>43</v>
      </c>
      <c r="S11" s="241"/>
      <c r="AA11" s="48" t="str">
        <f>IF(OR(D17="",D18="",T16="",T17="",T18="",T19="",T20="",T21="",T22="",T25=""),"yes","")</f>
        <v/>
      </c>
    </row>
    <row r="12" spans="1:27" ht="13.5" thickBot="1" x14ac:dyDescent="0.25">
      <c r="B12" t="s">
        <v>288</v>
      </c>
      <c r="E12" s="889"/>
      <c r="F12" s="889"/>
      <c r="G12" s="889"/>
      <c r="H12" s="889"/>
      <c r="I12" s="889"/>
      <c r="J12" s="889"/>
      <c r="K12" s="889"/>
      <c r="L12" s="889"/>
      <c r="M12" s="889"/>
      <c r="N12" s="889"/>
      <c r="O12" s="889"/>
      <c r="P12" s="889"/>
      <c r="Q12" s="889"/>
      <c r="R12" s="889"/>
      <c r="S12" s="241" t="s">
        <v>31</v>
      </c>
      <c r="AA12" s="48" t="str">
        <f>IF(AND(AA8="",AA9="",AA11=""),"","yes")</f>
        <v/>
      </c>
    </row>
    <row r="13" spans="1:27" ht="16.5" customHeight="1" thickTop="1" x14ac:dyDescent="0.2">
      <c r="AA13" s="48"/>
    </row>
    <row r="14" spans="1:27" ht="12.75" customHeight="1" x14ac:dyDescent="0.2">
      <c r="A14" s="890" t="s">
        <v>289</v>
      </c>
      <c r="B14" s="890"/>
      <c r="C14" s="890"/>
      <c r="D14" s="890"/>
      <c r="E14" s="890"/>
      <c r="G14" s="242"/>
      <c r="AA14" s="48"/>
    </row>
    <row r="15" spans="1:27" ht="26.1" customHeight="1" x14ac:dyDescent="0.2">
      <c r="A15" s="209"/>
      <c r="B15" s="892" t="s">
        <v>290</v>
      </c>
      <c r="C15" s="892"/>
      <c r="D15" s="892"/>
      <c r="E15" s="892"/>
      <c r="G15" s="243"/>
      <c r="K15" s="538" t="s">
        <v>291</v>
      </c>
      <c r="L15" s="538"/>
      <c r="M15" s="538"/>
      <c r="N15" s="538"/>
      <c r="O15" s="538"/>
      <c r="P15" s="538"/>
      <c r="Q15" s="538"/>
      <c r="R15" s="538"/>
      <c r="S15" s="244" t="s">
        <v>292</v>
      </c>
      <c r="T15" s="245" t="s">
        <v>293</v>
      </c>
      <c r="AA15" s="48"/>
    </row>
    <row r="16" spans="1:27" ht="12.75" customHeight="1" x14ac:dyDescent="0.2">
      <c r="B16" s="564" t="s">
        <v>294</v>
      </c>
      <c r="K16" s="63" t="s">
        <v>24</v>
      </c>
      <c r="L16" s="890" t="s">
        <v>295</v>
      </c>
      <c r="M16" s="890"/>
      <c r="N16" s="890"/>
      <c r="O16" s="890"/>
      <c r="P16" s="890"/>
      <c r="S16" s="547">
        <v>350212</v>
      </c>
      <c r="T16" s="51">
        <v>416596</v>
      </c>
      <c r="U16" s="241" t="s">
        <v>24</v>
      </c>
    </row>
    <row r="17" spans="1:21" ht="12.75" customHeight="1" x14ac:dyDescent="0.2">
      <c r="B17" t="s">
        <v>296</v>
      </c>
      <c r="C17" s="7" t="s">
        <v>16</v>
      </c>
      <c r="D17" s="24">
        <v>44755</v>
      </c>
      <c r="K17" s="63" t="s">
        <v>26</v>
      </c>
      <c r="L17" s="890" t="s">
        <v>297</v>
      </c>
      <c r="M17" s="890"/>
      <c r="N17" s="890"/>
      <c r="O17" s="173"/>
      <c r="S17" s="547">
        <f>[1]!P200GiftedEducation</f>
        <v>0</v>
      </c>
      <c r="T17" s="51">
        <v>44755</v>
      </c>
      <c r="U17" s="241" t="s">
        <v>26</v>
      </c>
    </row>
    <row r="18" spans="1:21" ht="12.75" customHeight="1" x14ac:dyDescent="0.2">
      <c r="B18" s="241" t="s">
        <v>298</v>
      </c>
      <c r="C18" s="7" t="s">
        <v>16</v>
      </c>
      <c r="D18" s="25">
        <v>0</v>
      </c>
      <c r="K18" s="63" t="s">
        <v>28</v>
      </c>
      <c r="L18" t="s">
        <v>299</v>
      </c>
      <c r="S18" s="551">
        <f>[1]!P200ELLIncrementalCosts</f>
        <v>0</v>
      </c>
      <c r="T18" s="51">
        <v>0</v>
      </c>
      <c r="U18" s="241" t="s">
        <v>28</v>
      </c>
    </row>
    <row r="19" spans="1:21" ht="12.75" customHeight="1" thickBot="1" x14ac:dyDescent="0.25">
      <c r="B19" t="s">
        <v>300</v>
      </c>
      <c r="C19" s="7" t="s">
        <v>16</v>
      </c>
      <c r="D19" s="246">
        <f>SUM(D17:D18)</f>
        <v>44755</v>
      </c>
      <c r="E19" s="173"/>
      <c r="K19" s="63" t="s">
        <v>31</v>
      </c>
      <c r="L19" t="s">
        <v>301</v>
      </c>
      <c r="S19" s="547">
        <f>[1]!P200ELLCompensatoryInstruction</f>
        <v>0</v>
      </c>
      <c r="T19" s="51">
        <v>0</v>
      </c>
      <c r="U19" s="241" t="s">
        <v>31</v>
      </c>
    </row>
    <row r="20" spans="1:21" ht="12.75" customHeight="1" thickTop="1" x14ac:dyDescent="0.2">
      <c r="K20" s="63" t="s">
        <v>33</v>
      </c>
      <c r="L20" t="s">
        <v>302</v>
      </c>
      <c r="S20" s="547">
        <f>[1]!P200RemedialEducation</f>
        <v>0</v>
      </c>
      <c r="T20" s="51">
        <v>0</v>
      </c>
      <c r="U20" s="241" t="s">
        <v>33</v>
      </c>
    </row>
    <row r="21" spans="1:21" x14ac:dyDescent="0.2">
      <c r="K21" s="63" t="s">
        <v>35</v>
      </c>
      <c r="L21" t="s">
        <v>303</v>
      </c>
      <c r="S21" s="547">
        <f>[1]!P200VocationalandTechnologicalEd</f>
        <v>0</v>
      </c>
      <c r="T21" s="51">
        <v>0</v>
      </c>
      <c r="U21" s="241" t="s">
        <v>35</v>
      </c>
    </row>
    <row r="22" spans="1:21" ht="12" customHeight="1" thickBot="1" x14ac:dyDescent="0.25">
      <c r="K22" s="63" t="s">
        <v>36</v>
      </c>
      <c r="L22" t="s">
        <v>304</v>
      </c>
      <c r="S22" s="216">
        <f>[1]!P200CareerEducation</f>
        <v>0</v>
      </c>
      <c r="T22" s="54">
        <v>0</v>
      </c>
      <c r="U22" s="241" t="s">
        <v>36</v>
      </c>
    </row>
    <row r="23" spans="1:21" ht="12.75" customHeight="1" thickBot="1" x14ac:dyDescent="0.25">
      <c r="K23" s="63" t="s">
        <v>38</v>
      </c>
      <c r="L23" s="891" t="s">
        <v>305</v>
      </c>
      <c r="M23" s="891"/>
      <c r="N23" s="891"/>
      <c r="O23" s="891"/>
      <c r="P23" s="891"/>
      <c r="Q23" s="8"/>
      <c r="S23" s="247">
        <f>SUM(S16:S22)</f>
        <v>350212</v>
      </c>
      <c r="T23" s="247">
        <f>SUM(T16:T22)</f>
        <v>461351</v>
      </c>
      <c r="U23" s="241" t="s">
        <v>38</v>
      </c>
    </row>
    <row r="24" spans="1:21" ht="12.75" customHeight="1" thickTop="1" x14ac:dyDescent="0.2">
      <c r="A24" s="7"/>
      <c r="B24" s="819"/>
      <c r="C24" s="819"/>
      <c r="D24" s="819"/>
      <c r="E24" s="819"/>
      <c r="F24" s="819"/>
      <c r="G24" s="819"/>
      <c r="H24" s="819"/>
      <c r="K24" s="63"/>
      <c r="U24" s="241"/>
    </row>
    <row r="25" spans="1:21" ht="12.75" customHeight="1" x14ac:dyDescent="0.2">
      <c r="A25" s="7"/>
      <c r="B25" s="819"/>
      <c r="C25" s="819"/>
      <c r="D25" s="819"/>
      <c r="E25" s="819"/>
      <c r="F25" s="819"/>
      <c r="G25" s="819"/>
      <c r="H25" s="819"/>
      <c r="K25" s="63" t="s">
        <v>40</v>
      </c>
      <c r="L25" s="884" t="s">
        <v>306</v>
      </c>
      <c r="M25" s="884"/>
      <c r="N25" s="884"/>
      <c r="O25" s="884"/>
      <c r="P25" s="884"/>
      <c r="Q25" s="884"/>
      <c r="R25" s="885"/>
      <c r="S25" s="882">
        <f>'[1]Page 2'!$N$14</f>
        <v>0</v>
      </c>
      <c r="T25" s="886">
        <v>0</v>
      </c>
      <c r="U25" s="241" t="s">
        <v>40</v>
      </c>
    </row>
    <row r="26" spans="1:21" ht="19.5" customHeight="1" thickBot="1" x14ac:dyDescent="0.25">
      <c r="A26" s="63"/>
      <c r="L26" s="884"/>
      <c r="M26" s="884"/>
      <c r="N26" s="884"/>
      <c r="O26" s="884"/>
      <c r="P26" s="884"/>
      <c r="Q26" s="884"/>
      <c r="R26" s="885"/>
      <c r="S26" s="883"/>
      <c r="T26" s="887"/>
    </row>
  </sheetData>
  <sheetProtection formatCells="0" formatColumns="0" formatRows="0"/>
  <mergeCells count="28">
    <mergeCell ref="F3:H3"/>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 ref="B24:H24"/>
    <mergeCell ref="B25:H25"/>
    <mergeCell ref="L17:N17"/>
    <mergeCell ref="L23:P23"/>
    <mergeCell ref="A14:E14"/>
    <mergeCell ref="B15:E15"/>
    <mergeCell ref="L16:P16"/>
    <mergeCell ref="S25:S26"/>
    <mergeCell ref="L25:R26"/>
    <mergeCell ref="T25:T26"/>
    <mergeCell ref="Q11:Q12"/>
    <mergeCell ref="R11:R12"/>
  </mergeCells>
  <conditionalFormatting sqref="D17:D18">
    <cfRule type="expression" dxfId="49" priority="2" stopIfTrue="1">
      <formula>$D17=""</formula>
    </cfRule>
  </conditionalFormatting>
  <conditionalFormatting sqref="E8:Q10">
    <cfRule type="expression" dxfId="48" priority="5" stopIfTrue="1">
      <formula>E8=""</formula>
    </cfRule>
  </conditionalFormatting>
  <conditionalFormatting sqref="T16:T22 T25">
    <cfRule type="expression" dxfId="47" priority="3" stopIfTrue="1">
      <formula>$T16=""</formula>
    </cfRule>
  </conditionalFormatting>
  <hyperlinks>
    <hyperlink ref="K17:N17" location="TotalActualGiftedExpenses" display="15." xr:uid="{00000000-0004-0000-0800-000000000000}"/>
    <hyperlink ref="K23:P23" r:id="rId1" display="22." xr:uid="{00000000-0004-0000-0800-000001000000}"/>
    <hyperlink ref="A14:E15" location="TotalActualGiftedExpenses" display="B. EXPENSES FOR GIFTED PUPILS " xr:uid="{00000000-0004-0000-0800-000002000000}"/>
    <hyperlink ref="L16:P16" location="AllDisabilityClassifications" display="Total All Disability Classifications" xr:uid="{00000000-0004-0000-0800-000003000000}"/>
    <hyperlink ref="K25" r:id="rId2" display="22." xr:uid="{00000000-0004-0000-0800-000004000000}"/>
    <hyperlink ref="L25:R26" location="Section_C_Transportation" display="Expenses incurred for transporting students with disabilities (as defined in A.R.S. §15-761) unique to the IEP" xr:uid="{00000000-0004-0000-0800-000005000000}"/>
    <hyperlink ref="L15" location="SpecialEdProgramsByType" display="D. SPECIAL EDUCATION PROGRAMS BY TYPE" xr:uid="{00000000-0004-0000-0800-000006000000}"/>
    <hyperlink ref="S15" location="SpecialEdProgramsByType" display="Program 200 budget" xr:uid="{00000000-0004-0000-0800-000007000000}"/>
    <hyperlink ref="T15" location="SpecialEdProgramsByType" display="Program 200 actual" xr:uid="{00000000-0004-0000-0800-000008000000}"/>
    <hyperlink ref="K15:R15" location="SpecialEdProgramsByType" display="C. Special education programs by type" xr:uid="{00000000-0004-0000-0800-000009000000}"/>
    <hyperlink ref="F3:H3" location="TotalActualGiftedExpenses" display="Instructions" xr:uid="{BCB3B9A7-2FBF-47FB-A6F2-A0A0568F4753}"/>
  </hyperlinks>
  <pageMargins left="0.7" right="0.7" top="0.75" bottom="0.75" header="0.3" footer="0.3"/>
  <pageSetup scale="77" orientation="landscape" r:id="rId3"/>
  <headerFooter>
    <oddFooter>&amp;LRev. 8/25 Arizona Department of Education and Auditor General&amp;CFY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2"/>
  <sheetViews>
    <sheetView showGridLines="0" topLeftCell="A4" workbookViewId="0">
      <selection activeCell="N42" sqref="N42"/>
    </sheetView>
  </sheetViews>
  <sheetFormatPr defaultColWidth="9.33203125" defaultRowHeight="12.75" x14ac:dyDescent="0.2"/>
  <cols>
    <col min="1" max="1" width="21.33203125" customWidth="1"/>
    <col min="2" max="2" width="19.33203125" customWidth="1"/>
    <col min="3" max="3" width="13" customWidth="1"/>
    <col min="4" max="4" width="3.83203125" style="7"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46" t="s">
        <v>0</v>
      </c>
      <c r="B1" s="813" t="str">
        <f>'Cover Page'!D1</f>
        <v>ASU Preparatory Academy- Polytechnic MS</v>
      </c>
      <c r="C1" s="813"/>
      <c r="D1" s="813"/>
      <c r="G1" s="59" t="s">
        <v>1</v>
      </c>
      <c r="H1" s="813" t="str">
        <f>'Cover Page'!M1</f>
        <v>Maricopa</v>
      </c>
      <c r="I1" s="813"/>
      <c r="M1" s="59" t="s">
        <v>2</v>
      </c>
      <c r="N1" s="2" t="str">
        <f>'Cover Page'!R1</f>
        <v>078251000</v>
      </c>
    </row>
    <row r="3" spans="1:29" x14ac:dyDescent="0.2">
      <c r="A3" s="797" t="s">
        <v>307</v>
      </c>
      <c r="B3" s="797"/>
      <c r="C3" s="797"/>
      <c r="D3" s="894"/>
      <c r="E3" s="567" t="s">
        <v>184</v>
      </c>
      <c r="F3" s="604" t="s">
        <v>308</v>
      </c>
      <c r="G3" s="567"/>
      <c r="H3" s="567" t="s">
        <v>309</v>
      </c>
      <c r="I3" s="567"/>
      <c r="J3" s="175"/>
      <c r="K3" s="174"/>
      <c r="L3" s="174" t="s">
        <v>310</v>
      </c>
      <c r="M3" s="567" t="s">
        <v>311</v>
      </c>
      <c r="N3" s="567" t="s">
        <v>187</v>
      </c>
    </row>
    <row r="4" spans="1:29" x14ac:dyDescent="0.2">
      <c r="B4" s="893" t="s">
        <v>726</v>
      </c>
      <c r="C4" s="893"/>
      <c r="E4" s="78" t="s">
        <v>190</v>
      </c>
      <c r="F4" s="605" t="s">
        <v>184</v>
      </c>
      <c r="G4" s="78" t="s">
        <v>21</v>
      </c>
      <c r="H4" s="78" t="s">
        <v>312</v>
      </c>
      <c r="I4" s="78" t="s">
        <v>313</v>
      </c>
      <c r="J4" s="895" t="s">
        <v>89</v>
      </c>
      <c r="K4" s="896"/>
      <c r="L4" s="248" t="s">
        <v>314</v>
      </c>
      <c r="M4" s="78" t="s">
        <v>315</v>
      </c>
      <c r="N4" s="78" t="s">
        <v>190</v>
      </c>
      <c r="AA4" s="545"/>
      <c r="AB4" s="48"/>
      <c r="AC4" s="48"/>
    </row>
    <row r="5" spans="1:29" x14ac:dyDescent="0.2">
      <c r="A5" s="546" t="s">
        <v>316</v>
      </c>
      <c r="E5" s="83" t="s">
        <v>99</v>
      </c>
      <c r="F5" s="606" t="s">
        <v>483</v>
      </c>
      <c r="G5" s="83" t="s">
        <v>99</v>
      </c>
      <c r="H5" s="83" t="s">
        <v>99</v>
      </c>
      <c r="I5" s="83" t="s">
        <v>99</v>
      </c>
      <c r="J5" s="578" t="s">
        <v>98</v>
      </c>
      <c r="K5" s="578" t="s">
        <v>23</v>
      </c>
      <c r="L5" s="83" t="s">
        <v>317</v>
      </c>
      <c r="M5" s="83" t="s">
        <v>99</v>
      </c>
      <c r="N5" s="83" t="s">
        <v>99</v>
      </c>
      <c r="T5" s="545"/>
      <c r="AB5" s="48"/>
      <c r="AC5" s="48"/>
    </row>
    <row r="6" spans="1:29" x14ac:dyDescent="0.2">
      <c r="A6" t="s">
        <v>318</v>
      </c>
      <c r="D6" s="7" t="s">
        <v>24</v>
      </c>
      <c r="E6" s="547">
        <f>[2]!FP11001130EndBal</f>
        <v>0</v>
      </c>
      <c r="F6" s="51">
        <v>0</v>
      </c>
      <c r="G6" s="547">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0</v>
      </c>
      <c r="H6" s="549">
        <f>SUMIFS('Accounting data'!$G$2:$G$37000,'Accounting data'!$H$2:$H$37000,"1100*",'Accounting data'!$K$2:$K$37000,"69*")</f>
        <v>0</v>
      </c>
      <c r="I6" s="49">
        <v>0</v>
      </c>
      <c r="J6" s="547"/>
      <c r="K6" s="549">
        <f>SUMIFS('Accounting data'!$G$2:$G$37000,'Accounting data'!$H$2:$H$37000,"1100*",'Accounting data'!$K$2:$K$37000,"6*")-SUMIFS('Accounting data'!$G$2:$G$37000,'Accounting data'!$H$2:$H$37000,"1100*",'Accounting data'!$K$2:$K$37000,"69*")-SUMIFS('Accounting data'!$G$2:$G$37000,'Accounting data'!$H$2:$H$37000,"1100*",'Accounting data'!$K$2:$K$37000,"67*")</f>
        <v>0</v>
      </c>
      <c r="L6" s="249"/>
      <c r="M6" s="49">
        <v>0</v>
      </c>
      <c r="N6" s="549">
        <f>SUM(IF(F6="",E6,F6)+G6-H6-I6-K6-M6)</f>
        <v>0</v>
      </c>
      <c r="O6" s="215" t="s">
        <v>24</v>
      </c>
      <c r="P6" s="26"/>
      <c r="AB6" s="48"/>
      <c r="AC6" s="48" t="str">
        <f>IF(OR(I6="",I7="",I8="",I9="",I10="",I11="",I12="",I13="",I14="",I15="",I16="",I17="",I18="",I19="",I20="",I21="",I22=""),"yes","")</f>
        <v/>
      </c>
    </row>
    <row r="7" spans="1:29" x14ac:dyDescent="0.2">
      <c r="A7" t="s">
        <v>319</v>
      </c>
      <c r="D7" s="7" t="s">
        <v>26</v>
      </c>
      <c r="E7" s="547">
        <f>[2]!FP11401150EndBal</f>
        <v>0</v>
      </c>
      <c r="F7" s="51">
        <v>0</v>
      </c>
      <c r="G7" s="547">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4834</v>
      </c>
      <c r="H7" s="549">
        <f>SUMIFS('Accounting data'!$G$2:$G$37000,'Accounting data'!$H$2:$H$37000,"1140*",'Accounting data'!$K$2:$K$37000,"69*")</f>
        <v>358</v>
      </c>
      <c r="I7" s="49">
        <v>0</v>
      </c>
      <c r="J7" s="547">
        <v>2431</v>
      </c>
      <c r="K7" s="549">
        <f>SUMIFS('Accounting data'!$G$2:$G$37000,'Accounting data'!$H$2:$H$37000,"1140*",'Accounting data'!$K$2:$K$37000,"6*")-SUMIFS('Accounting data'!$G$2:$G$37000,'Accounting data'!$H$2:$H$37000,"1140*",'Accounting data'!$K$2:$K$37000,"69*")-SUMIFS('Accounting data'!$G$2:$G$37000,'Accounting data'!$H$2:$H$37000,"1140*",'Accounting data'!$K$2:$K$37000,"67*")</f>
        <v>4476</v>
      </c>
      <c r="L7" s="249"/>
      <c r="M7" s="49">
        <v>0</v>
      </c>
      <c r="N7" s="549">
        <f>SUM(IF(F7="",E7,F7)+G7-H7-I7-K7-M7)</f>
        <v>0</v>
      </c>
      <c r="O7" t="s">
        <v>26</v>
      </c>
      <c r="AB7" s="48"/>
      <c r="AC7" s="48" t="str">
        <f>IF(OR(M6="",M7="",M8="",M9="",M10="",M11="",M12="",M13="",M14="",M15="",M16="",M17="",M18="",M19="",M20="",M21="",M22=""),"yes","")</f>
        <v/>
      </c>
    </row>
    <row r="8" spans="1:29" x14ac:dyDescent="0.2">
      <c r="A8" t="s">
        <v>320</v>
      </c>
      <c r="D8" s="7" t="s">
        <v>28</v>
      </c>
      <c r="E8" s="547">
        <f>[2]!FP1160EndBal</f>
        <v>0</v>
      </c>
      <c r="F8" s="51">
        <v>0</v>
      </c>
      <c r="G8" s="547">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49">
        <f>SUMIFS('Accounting data'!$G$2:$G$37000,'Accounting data'!$H$2:$H$37000,"1160*",'Accounting data'!$K$2:$K$37000,"69*")</f>
        <v>0</v>
      </c>
      <c r="I8" s="49">
        <v>0</v>
      </c>
      <c r="J8" s="547"/>
      <c r="K8" s="549">
        <f>SUMIFS('Accounting data'!$G$2:$G$37000,'Accounting data'!$H$2:$H$37000,"1160*",'Accounting data'!$K$2:$K$37000,"6*")-SUMIFS('Accounting data'!$G$2:$G$37000,'Accounting data'!$H$2:$H$37000,"1160*",'Accounting data'!$K$2:$K$37000,"69*")-SUMIFS('Accounting data'!$G$2:$G$37000,'Accounting data'!$H$2:$H$37000,"1160*",'Accounting data'!$K$2:$K$37000,"67*")</f>
        <v>0</v>
      </c>
      <c r="L8" s="249"/>
      <c r="M8" s="49">
        <v>0</v>
      </c>
      <c r="N8" s="549">
        <f t="shared" ref="N8:N21" si="0">SUM(IF(F8="",E8,F8)+G8-H8-I8-K8-M8)</f>
        <v>0</v>
      </c>
      <c r="O8" t="s">
        <v>28</v>
      </c>
      <c r="AB8" s="48"/>
      <c r="AC8" s="48" t="str">
        <f>IF(OR(I25="",J25="",M25=""),"yes","")</f>
        <v>yes</v>
      </c>
    </row>
    <row r="9" spans="1:29" x14ac:dyDescent="0.2">
      <c r="A9" t="s">
        <v>321</v>
      </c>
      <c r="D9" s="7" t="s">
        <v>31</v>
      </c>
      <c r="E9" s="547">
        <f>[2]!FP11701180EndBal</f>
        <v>0</v>
      </c>
      <c r="F9" s="51">
        <v>0</v>
      </c>
      <c r="G9" s="547">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49">
        <f>SUMIFS('Accounting data'!$G$2:$G$37000,'Accounting data'!$H$2:$H$37000,"1170*",'Accounting data'!$K$2:$K$37000,"69*")</f>
        <v>0</v>
      </c>
      <c r="I9" s="49">
        <v>0</v>
      </c>
      <c r="J9" s="547"/>
      <c r="K9" s="549">
        <f>SUMIFS('Accounting data'!$G$2:$G$37000,'Accounting data'!$H$2:$H$37000,"1170*",'Accounting data'!$K$2:$K$37000,"6*")-SUMIFS('Accounting data'!$G$2:$G$37000,'Accounting data'!$H$2:$H$37000,"1170*",'Accounting data'!$K$2:$K$37000,"69*")-SUMIFS('Accounting data'!$G$2:$G$37000,'Accounting data'!$H$2:$H$37000,"1170*",'Accounting data'!$K$2:$K$37000,"67*")</f>
        <v>0</v>
      </c>
      <c r="L9" s="249"/>
      <c r="M9" s="49">
        <v>0</v>
      </c>
      <c r="N9" s="549">
        <f t="shared" si="0"/>
        <v>0</v>
      </c>
      <c r="O9" t="s">
        <v>31</v>
      </c>
      <c r="AB9" s="48"/>
      <c r="AC9" s="48" t="str">
        <f>IF(OR(I28="",I29="",I30="",I31="",I32="",I33="",I34="",I35="",I36="",I37="",I38="",I39=""),"yes","")</f>
        <v/>
      </c>
    </row>
    <row r="10" spans="1:29" x14ac:dyDescent="0.2">
      <c r="A10" t="s">
        <v>322</v>
      </c>
      <c r="D10" s="7" t="s">
        <v>33</v>
      </c>
      <c r="E10" s="547">
        <f>[2]!FP1190EndBal</f>
        <v>0</v>
      </c>
      <c r="F10" s="51">
        <v>0</v>
      </c>
      <c r="G10" s="547">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738</v>
      </c>
      <c r="H10" s="549">
        <f>SUMIFS('Accounting data'!$G$2:$G$37000,'Accounting data'!$H$2:$H$37000,"1190*",'Accounting data'!$K$2:$K$37000,"69*")</f>
        <v>59</v>
      </c>
      <c r="I10" s="49">
        <v>0</v>
      </c>
      <c r="J10" s="547">
        <v>739</v>
      </c>
      <c r="K10" s="549">
        <f>SUMIFS('Accounting data'!$G$2:$G$37000,'Accounting data'!$H$2:$H$37000,"1190*",'Accounting data'!$K$2:$K$37000,"6*")-SUMIFS('Accounting data'!$G$2:$G$37000,'Accounting data'!$H$2:$H$37000,"1190*",'Accounting data'!$K$2:$K$37000,"69*")-SUMIFS('Accounting data'!$G$2:$G$37000,'Accounting data'!$H$2:$H$37000,"1190*",'Accounting data'!$K$2:$K$37000,"67*")</f>
        <v>679</v>
      </c>
      <c r="L10" s="249"/>
      <c r="M10" s="49">
        <v>0</v>
      </c>
      <c r="N10" s="549">
        <f t="shared" si="0"/>
        <v>0</v>
      </c>
      <c r="O10" t="s">
        <v>33</v>
      </c>
      <c r="AB10" s="48"/>
      <c r="AC10" s="48" t="str">
        <f>IF(OR(M28="",M29="",M30="",M31="",M32="",M33="",M34="",M35="",M36="",M37="",M38="",M39=""),"yes","")</f>
        <v/>
      </c>
    </row>
    <row r="11" spans="1:29" x14ac:dyDescent="0.2">
      <c r="A11" t="s">
        <v>323</v>
      </c>
      <c r="D11" s="7" t="s">
        <v>35</v>
      </c>
      <c r="E11" s="547">
        <f>[2]!FP1200EndBal</f>
        <v>0</v>
      </c>
      <c r="F11" s="51">
        <v>0</v>
      </c>
      <c r="G11" s="547">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49">
        <f>SUMIFS('Accounting data'!$G$2:$G$37000,'Accounting data'!$H$2:$H$37000,"1200*",'Accounting data'!$K$2:$K$37000,"69*")</f>
        <v>0</v>
      </c>
      <c r="I11" s="49">
        <v>0</v>
      </c>
      <c r="J11" s="547"/>
      <c r="K11" s="549">
        <f>SUMIFS('Accounting data'!$G$2:$G$37000,'Accounting data'!$H$2:$H$37000,"1200*",'Accounting data'!$K$2:$K$37000,"6*")-SUMIFS('Accounting data'!$G$2:$G$37000,'Accounting data'!$H$2:$H$37000,"1200*",'Accounting data'!$K$2:$K$37000,"69*")-SUMIFS('Accounting data'!$G$2:$G$37000,'Accounting data'!$H$2:$H$37000,"1200*",'Accounting data'!$K$2:$K$37000,"67*")</f>
        <v>0</v>
      </c>
      <c r="L11" s="249"/>
      <c r="M11" s="49">
        <v>0</v>
      </c>
      <c r="N11" s="549">
        <f t="shared" si="0"/>
        <v>0</v>
      </c>
      <c r="O11" t="s">
        <v>35</v>
      </c>
      <c r="AB11" s="48"/>
      <c r="AC11" s="48" t="str">
        <f>IF(AND(AC6="",AC8="",AC9="",AC7="",AC10=""),"","yes")</f>
        <v>yes</v>
      </c>
    </row>
    <row r="12" spans="1:29" x14ac:dyDescent="0.2">
      <c r="A12" t="s">
        <v>324</v>
      </c>
      <c r="D12" s="7" t="s">
        <v>36</v>
      </c>
      <c r="E12" s="547">
        <f>[2]!FP1210EndBal</f>
        <v>0</v>
      </c>
      <c r="F12" s="51">
        <v>0</v>
      </c>
      <c r="G12" s="547">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49">
        <f>SUMIFS('Accounting data'!$G$2:$G$37000,'Accounting data'!$H$2:$H$37000,"1210*",'Accounting data'!$K$2:$K$37000,"69*")</f>
        <v>0</v>
      </c>
      <c r="I12" s="49">
        <v>0</v>
      </c>
      <c r="J12" s="547"/>
      <c r="K12" s="549">
        <f>SUMIFS('Accounting data'!$G$2:$G$37000,'Accounting data'!$H$2:$H$37000,"1210*",'Accounting data'!$K$2:$K$37000,"6*")-SUMIFS('Accounting data'!$G$2:$G$37000,'Accounting data'!$H$2:$H$37000,"1210*",'Accounting data'!$K$2:$K$37000,"69*")-SUMIFS('Accounting data'!$G$2:$G$37000,'Accounting data'!$H$2:$H$37000,"1210*",'Accounting data'!$K$2:$K$37000,"67*")</f>
        <v>0</v>
      </c>
      <c r="L12" s="249"/>
      <c r="M12" s="49">
        <v>0</v>
      </c>
      <c r="N12" s="549">
        <f t="shared" si="0"/>
        <v>0</v>
      </c>
      <c r="O12" t="s">
        <v>36</v>
      </c>
      <c r="AB12" s="48"/>
      <c r="AC12" s="48"/>
    </row>
    <row r="13" spans="1:29" x14ac:dyDescent="0.2">
      <c r="A13" t="s">
        <v>325</v>
      </c>
      <c r="D13" s="7" t="s">
        <v>38</v>
      </c>
      <c r="E13" s="547">
        <f>[2]!FP1220EndBal</f>
        <v>0</v>
      </c>
      <c r="F13" s="51">
        <v>0</v>
      </c>
      <c r="G13" s="547">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50736</v>
      </c>
      <c r="H13" s="547">
        <f>SUMIFS('Accounting data'!$G$2:$G$37000,'Accounting data'!$H$2:$H$37000,"122*",'Accounting data'!$K$2:$K$37000,"69*")</f>
        <v>3312</v>
      </c>
      <c r="I13" s="49">
        <v>0</v>
      </c>
      <c r="J13" s="547">
        <v>49934</v>
      </c>
      <c r="K13" s="549">
        <f>SUMIFS('Accounting data'!$G$2:$G$37000,'Accounting data'!$H$2:$H$37000,"122*",'Accounting data'!$K$2:$K$37000,"6*")-SUMIFS('Accounting data'!$G$2:$G$37000,'Accounting data'!$H$2:$H$37000,"122*",'Accounting data'!$K$2:$K$37000,"69*")-SUMIFS('Accounting data'!$G$2:$G$37000,'Accounting data'!$H$2:$H$37000,"122*",'Accounting data'!$K$2:$K$37000,"67*")</f>
        <v>47424</v>
      </c>
      <c r="L13" s="249"/>
      <c r="M13" s="49">
        <v>0</v>
      </c>
      <c r="N13" s="549">
        <f t="shared" si="0"/>
        <v>0</v>
      </c>
      <c r="O13" t="s">
        <v>38</v>
      </c>
      <c r="AB13" s="48"/>
      <c r="AC13" s="48"/>
    </row>
    <row r="14" spans="1:29" x14ac:dyDescent="0.2">
      <c r="A14" t="s">
        <v>326</v>
      </c>
      <c r="D14" s="7" t="s">
        <v>40</v>
      </c>
      <c r="E14" s="547">
        <f>[2]!FP1230EndBal</f>
        <v>0</v>
      </c>
      <c r="F14" s="51">
        <v>0</v>
      </c>
      <c r="G14" s="547">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49">
        <f>SUMIFS('Accounting data'!$G$2:$G$37000,'Accounting data'!$H$2:$H$37000,"1230*",'Accounting data'!$K$2:$K$37000,"69*")</f>
        <v>0</v>
      </c>
      <c r="I14" s="49">
        <v>0</v>
      </c>
      <c r="J14" s="547"/>
      <c r="K14" s="549">
        <f>SUMIFS('Accounting data'!$G$2:$G$37000,'Accounting data'!$H$2:$H$37000,"1230*",'Accounting data'!$K$2:$K$37000,"6*")-SUMIFS('Accounting data'!$G$2:$G$37000,'Accounting data'!$H$2:$H$37000,"1230*",'Accounting data'!$K$2:$K$37000,"69*")-SUMIFS('Accounting data'!$G$2:$G$37000,'Accounting data'!$H$2:$H$37000,"1230*",'Accounting data'!$K$2:$K$37000,"67*")</f>
        <v>0</v>
      </c>
      <c r="L14" s="249"/>
      <c r="M14" s="49">
        <v>0</v>
      </c>
      <c r="N14" s="549">
        <f t="shared" si="0"/>
        <v>0</v>
      </c>
      <c r="O14" t="s">
        <v>40</v>
      </c>
      <c r="AB14" s="48"/>
      <c r="AC14" s="48"/>
    </row>
    <row r="15" spans="1:29" x14ac:dyDescent="0.2">
      <c r="A15" t="s">
        <v>327</v>
      </c>
      <c r="D15" s="7" t="s">
        <v>42</v>
      </c>
      <c r="E15" s="547">
        <f>[2]!FP1240EndBal</f>
        <v>0</v>
      </c>
      <c r="F15" s="51">
        <v>0</v>
      </c>
      <c r="G15" s="547">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49">
        <f>SUMIFS('Accounting data'!$G$2:$G$37000,'Accounting data'!$H$2:$H$37000,"1240*",'Accounting data'!$K$2:$K$37000,"69*")</f>
        <v>0</v>
      </c>
      <c r="I15" s="49">
        <v>0</v>
      </c>
      <c r="J15" s="547"/>
      <c r="K15" s="549">
        <f>SUMIFS('Accounting data'!$G$2:$G$37000,'Accounting data'!$H$2:$H$37000,"1240*",'Accounting data'!$K$2:$K$37000,"6*")-SUMIFS('Accounting data'!$G$2:$G$37000,'Accounting data'!$H$2:$H$37000,"1240*",'Accounting data'!$K$2:$K$37000,"69*")-SUMIFS('Accounting data'!$G$2:$G$37000,'Accounting data'!$H$2:$H$37000,"1240*",'Accounting data'!$K$2:$K$37000,"67*")</f>
        <v>0</v>
      </c>
      <c r="L15" s="249"/>
      <c r="M15" s="49">
        <v>0</v>
      </c>
      <c r="N15" s="549">
        <f t="shared" si="0"/>
        <v>0</v>
      </c>
      <c r="O15" t="s">
        <v>42</v>
      </c>
      <c r="AB15" s="48"/>
      <c r="AC15" s="48"/>
    </row>
    <row r="16" spans="1:29" x14ac:dyDescent="0.2">
      <c r="A16" t="s">
        <v>328</v>
      </c>
      <c r="D16" s="7" t="s">
        <v>44</v>
      </c>
      <c r="E16" s="547">
        <f>[2]!FP1250EndBal</f>
        <v>0</v>
      </c>
      <c r="F16" s="51">
        <v>0</v>
      </c>
      <c r="G16" s="547">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49">
        <f>SUMIFS('Accounting data'!$G$2:$G$37000,'Accounting data'!$H$2:$H$37000,"1250*",'Accounting data'!$K$2:$K$37000,"69*")</f>
        <v>0</v>
      </c>
      <c r="I16" s="49">
        <v>0</v>
      </c>
      <c r="J16" s="547"/>
      <c r="K16" s="549">
        <f>SUMIFS('Accounting data'!$G$2:$G$37000,'Accounting data'!$H$2:$H$37000,"1250*",'Accounting data'!$K$2:$K$37000,"6*")-SUMIFS('Accounting data'!$G$2:$G$37000,'Accounting data'!$H$2:$H$37000,"1250*",'Accounting data'!$K$2:$K$37000,"69*")-SUMIFS('Accounting data'!$G$2:$G$37000,'Accounting data'!$H$2:$H$37000,"1250*",'Accounting data'!$K$2:$K$37000,"67*")</f>
        <v>0</v>
      </c>
      <c r="L16" s="249"/>
      <c r="M16" s="49">
        <v>0</v>
      </c>
      <c r="N16" s="549">
        <f t="shared" si="0"/>
        <v>0</v>
      </c>
      <c r="O16" t="s">
        <v>44</v>
      </c>
      <c r="AB16" s="48"/>
      <c r="AC16" s="48"/>
    </row>
    <row r="17" spans="1:26" x14ac:dyDescent="0.2">
      <c r="A17" t="s">
        <v>329</v>
      </c>
      <c r="D17" s="7" t="s">
        <v>45</v>
      </c>
      <c r="E17" s="547">
        <f>[2]!FP1260EndBal</f>
        <v>0</v>
      </c>
      <c r="F17" s="51">
        <v>0</v>
      </c>
      <c r="G17" s="547">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49">
        <f>SUMIFS('Accounting data'!$G$2:$G$37000,'Accounting data'!$H$2:$H$37000,"1260*",'Accounting data'!$K$2:$K$37000,"69*")</f>
        <v>0</v>
      </c>
      <c r="I17" s="49">
        <v>0</v>
      </c>
      <c r="J17" s="547"/>
      <c r="K17" s="549">
        <f>SUMIFS('Accounting data'!$G$2:$G$37000,'Accounting data'!$H$2:$H$37000,"1260*",'Accounting data'!$K$2:$K$37000,"6*")-SUMIFS('Accounting data'!$G$2:$G$37000,'Accounting data'!$H$2:$H$37000,"1260*",'Accounting data'!$K$2:$K$37000,"69*")-SUMIFS('Accounting data'!$G$2:$G$37000,'Accounting data'!$H$2:$H$37000,"1260*",'Accounting data'!$K$2:$K$37000,"67*")</f>
        <v>0</v>
      </c>
      <c r="L17" s="249"/>
      <c r="M17" s="49">
        <v>0</v>
      </c>
      <c r="N17" s="549">
        <f t="shared" si="0"/>
        <v>0</v>
      </c>
      <c r="O17" t="s">
        <v>45</v>
      </c>
    </row>
    <row r="18" spans="1:26" x14ac:dyDescent="0.2">
      <c r="A18" t="s">
        <v>330</v>
      </c>
      <c r="D18" s="7" t="s">
        <v>47</v>
      </c>
      <c r="E18" s="547">
        <f>[2]!FP1280EndBal</f>
        <v>0</v>
      </c>
      <c r="F18" s="51">
        <v>0</v>
      </c>
      <c r="G18" s="547">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49">
        <f>SUMIFS('Accounting data'!$G$2:$G$37000,'Accounting data'!$H$2:$H$37000,"1280*",'Accounting data'!$K$2:$K$37000,"69*")</f>
        <v>0</v>
      </c>
      <c r="I18" s="49">
        <v>0</v>
      </c>
      <c r="J18" s="547"/>
      <c r="K18" s="549">
        <f>SUMIFS('Accounting data'!$G$2:$G$37000,'Accounting data'!$H$2:$H$37000,"1280*",'Accounting data'!$K$2:$K$37000,"6*")-SUMIFS('Accounting data'!$G$2:$G$37000,'Accounting data'!$H$2:$H$37000,"1280*",'Accounting data'!$K$2:$K$37000,"69*")-SUMIFS('Accounting data'!$G$2:$G$37000,'Accounting data'!$H$2:$H$37000,"1280*",'Accounting data'!$K$2:$K$37000,"67*")</f>
        <v>0</v>
      </c>
      <c r="L18" s="249"/>
      <c r="M18" s="49">
        <v>0</v>
      </c>
      <c r="N18" s="549">
        <f t="shared" si="0"/>
        <v>0</v>
      </c>
      <c r="O18" t="s">
        <v>47</v>
      </c>
      <c r="P18" s="545"/>
    </row>
    <row r="19" spans="1:26" x14ac:dyDescent="0.2">
      <c r="A19" t="s">
        <v>331</v>
      </c>
      <c r="D19" s="7" t="s">
        <v>49</v>
      </c>
      <c r="E19" s="547">
        <f>[2]!FP1290EndBal</f>
        <v>0</v>
      </c>
      <c r="F19" s="51">
        <v>0</v>
      </c>
      <c r="G19" s="547">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49">
        <f>SUMIFS('Accounting data'!$G$2:$G$37000,'Accounting data'!$H$2:$H$37000,"1290*",'Accounting data'!$K$2:$K$37000,"69*")</f>
        <v>0</v>
      </c>
      <c r="I19" s="49">
        <v>0</v>
      </c>
      <c r="J19" s="547"/>
      <c r="K19" s="549">
        <f>SUMIFS('Accounting data'!$G$2:$G$37000,'Accounting data'!$H$2:$H$37000,"1290*",'Accounting data'!$K$2:$K$37000,"6*")-SUMIFS('Accounting data'!$G$2:$G$37000,'Accounting data'!$H$2:$H$37000,"1290*",'Accounting data'!$K$2:$K$37000,"69*")-SUMIFS('Accounting data'!$G$2:$G$37000,'Accounting data'!$H$2:$H$37000,"1290*",'Accounting data'!$K$2:$K$37000,"67*")</f>
        <v>0</v>
      </c>
      <c r="L19" s="249"/>
      <c r="M19" s="49">
        <v>0</v>
      </c>
      <c r="N19" s="549">
        <f t="shared" si="0"/>
        <v>0</v>
      </c>
      <c r="O19" t="s">
        <v>49</v>
      </c>
      <c r="P19" s="114"/>
      <c r="Q19" s="114"/>
      <c r="S19" s="26"/>
    </row>
    <row r="20" spans="1:26" x14ac:dyDescent="0.2">
      <c r="A20" t="s">
        <v>332</v>
      </c>
      <c r="D20" s="63" t="s">
        <v>51</v>
      </c>
      <c r="E20" s="547">
        <f>[2]!FP1300EndBal</f>
        <v>0</v>
      </c>
      <c r="F20" s="51">
        <v>0</v>
      </c>
      <c r="G20" s="547">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49">
        <f>SUMIFS('Accounting data'!$G$2:$G$37000,'Accounting data'!$H$2:$H$37000,"1300*",'Accounting data'!$K$2:$K$37000,"69*")</f>
        <v>0</v>
      </c>
      <c r="I20" s="49">
        <v>0</v>
      </c>
      <c r="J20" s="547"/>
      <c r="K20" s="549">
        <f>SUMIFS('Accounting data'!$G$2:$G$37000,'Accounting data'!$H$2:$H$37000,"1300*",'Accounting data'!$K$2:$K$37000,"6*")-SUMIFS('Accounting data'!$G$2:$G$37000,'Accounting data'!$H$2:$H$37000,"1300*",'Accounting data'!$K$2:$K$37000,"69*")-SUMIFS('Accounting data'!$G$2:$G$37000,'Accounting data'!$H$2:$H$37000,"1300*",'Accounting data'!$K$2:$K$37000,"67*")</f>
        <v>0</v>
      </c>
      <c r="L20" s="249"/>
      <c r="M20" s="49">
        <v>0</v>
      </c>
      <c r="N20" s="549">
        <f t="shared" si="0"/>
        <v>0</v>
      </c>
      <c r="O20" s="241" t="s">
        <v>51</v>
      </c>
      <c r="P20" s="114"/>
      <c r="Q20" s="114"/>
      <c r="S20" s="26"/>
    </row>
    <row r="21" spans="1:26" x14ac:dyDescent="0.2">
      <c r="A21" s="209" t="s">
        <v>333</v>
      </c>
      <c r="B21" s="209"/>
      <c r="C21" s="209"/>
      <c r="D21" s="67" t="s">
        <v>53</v>
      </c>
      <c r="E21" s="547">
        <f>[2]!FP13XXImpactAidEndBal</f>
        <v>0</v>
      </c>
      <c r="F21" s="51">
        <v>0</v>
      </c>
      <c r="G21" s="547">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49">
        <f>SUMIFS('Accounting data'!$G$2:$G$37000,'Accounting data'!$H$2:$H$37000,"13XX*",'Accounting data'!$K$2:$K$37000,"69*")</f>
        <v>0</v>
      </c>
      <c r="I21" s="49">
        <v>0</v>
      </c>
      <c r="J21" s="547"/>
      <c r="K21" s="549">
        <f>SUMIFS('Accounting data'!$G$2:$G$37000,'Accounting data'!$H$2:$H$37000,"13XX*",'Accounting data'!$K$2:$K$37000,"6*")-SUMIFS('Accounting data'!$G$2:$G$37000,'Accounting data'!$H$2:$H$37000,"13XX*",'Accounting data'!$K$2:$K$37000,"69*")-SUMIFS('Accounting data'!$G$2:$G$37000,'Accounting data'!$H$2:$H$37000,"13XX*",'Accounting data'!$K$2:$K$37000,"67*")</f>
        <v>0</v>
      </c>
      <c r="L21" s="249"/>
      <c r="M21" s="49">
        <v>0</v>
      </c>
      <c r="N21" s="549">
        <f t="shared" si="0"/>
        <v>0</v>
      </c>
      <c r="O21" s="241" t="s">
        <v>53</v>
      </c>
      <c r="P21" s="114"/>
      <c r="Q21" s="114"/>
      <c r="S21" s="26"/>
    </row>
    <row r="22" spans="1:26" ht="13.5" thickBot="1" x14ac:dyDescent="0.25">
      <c r="A22" s="209" t="s">
        <v>334</v>
      </c>
      <c r="B22" s="209"/>
      <c r="C22" s="209"/>
      <c r="D22" s="63" t="s">
        <v>55</v>
      </c>
      <c r="E22" s="216">
        <f>[2]!FP13101399EndBal</f>
        <v>0</v>
      </c>
      <c r="F22" s="54">
        <v>0</v>
      </c>
      <c r="G22" s="216">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0</v>
      </c>
      <c r="H22" s="222">
        <f>SUMIFS('Accounting data'!$G$2:$G$37000,'Accounting data'!$H$2:$H$37000,"1310*",'Accounting data'!$K$2:$K$37000,"69*")</f>
        <v>0</v>
      </c>
      <c r="I22" s="49">
        <v>0</v>
      </c>
      <c r="J22" s="216">
        <v>0</v>
      </c>
      <c r="K22" s="222">
        <f>SUMIFS('Accounting data'!$G$2:$G$37000,'Accounting data'!$H$2:$H$37000,"1310*",'Accounting data'!$K$2:$K$37000,"6*")-SUMIFS('Accounting data'!$G$2:$G$37000,'Accounting data'!$H$2:$H$37000,"1310*",'Accounting data'!$K$2:$K$37000,"69*")-SUMIFS('Accounting data'!$G$2:$G$37000,'Accounting data'!$H$2:$H$37000,"1310*",'Accounting data'!$K$2:$K$37000,"67*")</f>
        <v>0</v>
      </c>
      <c r="L22" s="53">
        <v>0</v>
      </c>
      <c r="M22" s="49">
        <v>0</v>
      </c>
      <c r="N22" s="549">
        <f>SUM(IF(F22="",E22,F22)+G22-H22-I22-K22-M22-L22)</f>
        <v>0</v>
      </c>
      <c r="O22" s="241" t="s">
        <v>55</v>
      </c>
      <c r="P22" s="114"/>
      <c r="Q22" s="114"/>
      <c r="S22" s="26"/>
    </row>
    <row r="23" spans="1:26" ht="13.5" thickBot="1" x14ac:dyDescent="0.25">
      <c r="A23" t="s">
        <v>335</v>
      </c>
      <c r="D23" s="63" t="s">
        <v>57</v>
      </c>
      <c r="E23" s="217">
        <f t="shared" ref="E23:M23" si="1">SUM(E6:E22)</f>
        <v>0</v>
      </c>
      <c r="F23" s="217" cm="1">
        <f t="array" ref="F23">SUM(IF(F6:F22="",E6:E22,F6:F22))</f>
        <v>0</v>
      </c>
      <c r="G23" s="217">
        <f t="shared" si="1"/>
        <v>56308</v>
      </c>
      <c r="H23" s="217">
        <f t="shared" si="1"/>
        <v>3729</v>
      </c>
      <c r="I23" s="217">
        <f>SUM(I6:I22)</f>
        <v>0</v>
      </c>
      <c r="J23" s="217">
        <f>SUM(J6:J22)</f>
        <v>53104</v>
      </c>
      <c r="K23" s="217">
        <f t="shared" si="1"/>
        <v>52579</v>
      </c>
      <c r="L23" s="217">
        <f>SUM(L6:L22)</f>
        <v>0</v>
      </c>
      <c r="M23" s="217">
        <f t="shared" si="1"/>
        <v>0</v>
      </c>
      <c r="N23" s="549">
        <f>SUM(IF(F23="",E23,F23)+G23-H23-I23-K23-M23)</f>
        <v>0</v>
      </c>
      <c r="O23" s="241" t="s">
        <v>57</v>
      </c>
    </row>
    <row r="24" spans="1:26" ht="13.5" thickTop="1" x14ac:dyDescent="0.2">
      <c r="D24" s="63"/>
      <c r="E24" s="26"/>
      <c r="F24" s="26"/>
      <c r="G24" s="26"/>
      <c r="H24" s="26"/>
      <c r="I24" s="26"/>
      <c r="J24" s="26"/>
      <c r="K24" s="26"/>
      <c r="L24" s="26"/>
      <c r="M24" s="26"/>
      <c r="N24" s="26"/>
      <c r="O24" s="241"/>
    </row>
    <row r="25" spans="1:26" x14ac:dyDescent="0.2">
      <c r="A25" s="209" t="s">
        <v>336</v>
      </c>
      <c r="B25" s="209"/>
      <c r="C25" s="209"/>
      <c r="D25" s="63" t="s">
        <v>59</v>
      </c>
      <c r="E25" s="547">
        <f>'[2]Page 8'!$N$25</f>
        <v>0</v>
      </c>
      <c r="F25" s="51">
        <v>0</v>
      </c>
      <c r="G25" s="549">
        <f>Q25+Z25</f>
        <v>0</v>
      </c>
      <c r="H25" s="547">
        <f t="array" ref="H25">SUM(SUMIFS('Accounting data'!$G$2:$G$37000,'Accounting data'!$H$2:$H$37000,{"1310-1399-COVID-19*","1227*","1228*"},'Accounting data'!$K$2:$K$37000,"69*"))</f>
        <v>0</v>
      </c>
      <c r="I25" s="51">
        <v>0</v>
      </c>
      <c r="J25" s="101"/>
      <c r="K25" s="549">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0</v>
      </c>
      <c r="L25" s="49">
        <v>0</v>
      </c>
      <c r="M25" s="51">
        <v>0</v>
      </c>
      <c r="N25" s="549">
        <f>SUM(IF(F25="",E25,F25)+G25-H25-I25-K25-M25-L25)</f>
        <v>0</v>
      </c>
      <c r="O25" s="63" t="s">
        <v>59</v>
      </c>
      <c r="Q25" s="48">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0</v>
      </c>
      <c r="R25" s="48"/>
      <c r="S25" s="48"/>
      <c r="T25" s="48"/>
      <c r="U25" s="48"/>
      <c r="V25" s="48"/>
      <c r="W25" s="48"/>
      <c r="X25" s="48"/>
      <c r="Y25" s="48"/>
      <c r="Z25" s="48">
        <f t="array" ref="Z25">-SUM(SUMIFS('Accounting data'!$G$2:$G$37000,'Accounting data'!$H$2:$H$37000,"1228*",'Accounting data'!$K$2:$K$37000,{"1*","2*","3*","4*","Other*"}))</f>
        <v>0</v>
      </c>
    </row>
    <row r="26" spans="1:26" x14ac:dyDescent="0.2">
      <c r="D26" s="63"/>
      <c r="E26" s="26"/>
      <c r="F26" s="26"/>
      <c r="G26" s="26"/>
      <c r="H26" s="26"/>
      <c r="I26" s="26"/>
      <c r="J26" s="26"/>
      <c r="K26" s="26"/>
      <c r="L26" s="26"/>
      <c r="M26" s="26"/>
      <c r="N26" s="26"/>
      <c r="O26" s="241"/>
    </row>
    <row r="27" spans="1:26" x14ac:dyDescent="0.2">
      <c r="A27" s="546" t="s">
        <v>337</v>
      </c>
      <c r="E27" s="212"/>
      <c r="F27" s="212"/>
      <c r="G27" s="212"/>
      <c r="H27" s="212"/>
      <c r="I27" s="212"/>
      <c r="J27" s="212"/>
      <c r="K27" s="212"/>
      <c r="L27" s="212"/>
      <c r="M27" s="212"/>
      <c r="N27" s="212"/>
    </row>
    <row r="28" spans="1:26" x14ac:dyDescent="0.2">
      <c r="A28" t="s">
        <v>338</v>
      </c>
      <c r="D28" s="63" t="s">
        <v>61</v>
      </c>
      <c r="E28" s="547">
        <f>[2]!StP1400EndBal</f>
        <v>0</v>
      </c>
      <c r="F28" s="51">
        <v>0</v>
      </c>
      <c r="G28" s="547">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99"/>
      <c r="I28" s="49">
        <v>0</v>
      </c>
      <c r="J28" s="547"/>
      <c r="K28" s="549">
        <f>SUMIFS('Accounting data'!$G$2:$G$37000,'Accounting data'!$H$2:$H$37000,"1400*",'Accounting data'!$K$2:$K$37000,"6*")-SUMIFS('Accounting data'!$G$2:$G$37000,'Accounting data'!$H$2:$H$37000,"1400*",'Accounting data'!$K$2:$K$37000,"69*")-SUMIFS('Accounting data'!$G$2:$G$37000,'Accounting data'!$H$2:$H$37000,"1400*",'Accounting data'!$K$2:$K$37000,"67*")</f>
        <v>0</v>
      </c>
      <c r="L28" s="49">
        <v>0</v>
      </c>
      <c r="M28" s="49">
        <v>0</v>
      </c>
      <c r="N28" s="549">
        <f>SUM(IF(F28="",E28,F28)+G28-H28-I28-K28-L28-M28)</f>
        <v>0</v>
      </c>
      <c r="O28" s="63" t="s">
        <v>61</v>
      </c>
    </row>
    <row r="29" spans="1:26" x14ac:dyDescent="0.2">
      <c r="A29" t="s">
        <v>339</v>
      </c>
      <c r="D29" s="63" t="s">
        <v>63</v>
      </c>
      <c r="E29" s="547">
        <f>[2]!StP1410EndBal</f>
        <v>0</v>
      </c>
      <c r="F29" s="51">
        <v>0</v>
      </c>
      <c r="G29" s="547">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99"/>
      <c r="I29" s="49">
        <v>0</v>
      </c>
      <c r="J29" s="547"/>
      <c r="K29" s="549">
        <f>SUMIFS('Accounting data'!$G$2:$G$37000,'Accounting data'!$H$2:$H$37000,"1410*",'Accounting data'!$K$2:$K$37000,"6*")-SUMIFS('Accounting data'!$G$2:$G$37000,'Accounting data'!$H$2:$H$37000,"1410*",'Accounting data'!$K$2:$K$37000,"69*")-SUMIFS('Accounting data'!$G$2:$G$37000,'Accounting data'!$H$2:$H$37000,"1410*",'Accounting data'!$K$2:$K$37000,"67*")</f>
        <v>0</v>
      </c>
      <c r="L29" s="49">
        <v>0</v>
      </c>
      <c r="M29" s="49">
        <v>0</v>
      </c>
      <c r="N29" s="549">
        <f t="shared" ref="N29:N39" si="2">SUM(IF(F29="",E29,F29)+G29-H29-I29-K29-L29-M29)</f>
        <v>0</v>
      </c>
      <c r="O29" s="63" t="s">
        <v>63</v>
      </c>
    </row>
    <row r="30" spans="1:26" x14ac:dyDescent="0.2">
      <c r="A30" t="s">
        <v>340</v>
      </c>
      <c r="D30" s="63" t="s">
        <v>65</v>
      </c>
      <c r="E30" s="547">
        <f>[2]!StP1420EndBal</f>
        <v>0</v>
      </c>
      <c r="F30" s="51">
        <v>0</v>
      </c>
      <c r="G30" s="547">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99"/>
      <c r="I30" s="49">
        <v>0</v>
      </c>
      <c r="J30" s="547"/>
      <c r="K30" s="549">
        <f>SUMIFS('Accounting data'!$G$2:$G$37000,'Accounting data'!$H$2:$H$37000,"1420*",'Accounting data'!$K$2:$K$37000,"6*")-SUMIFS('Accounting data'!$G$2:$G$37000,'Accounting data'!$H$2:$H$37000,"1420*",'Accounting data'!$K$2:$K$37000,"69*")-SUMIFS('Accounting data'!$G$2:$G$37000,'Accounting data'!$H$2:$H$37000,"1420*",'Accounting data'!$K$2:$K$37000,"67*")</f>
        <v>0</v>
      </c>
      <c r="L30" s="49">
        <v>0</v>
      </c>
      <c r="M30" s="49">
        <v>0</v>
      </c>
      <c r="N30" s="549">
        <f t="shared" si="2"/>
        <v>0</v>
      </c>
      <c r="O30" s="63" t="s">
        <v>65</v>
      </c>
    </row>
    <row r="31" spans="1:26" x14ac:dyDescent="0.2">
      <c r="A31" t="s">
        <v>341</v>
      </c>
      <c r="D31" s="63" t="s">
        <v>67</v>
      </c>
      <c r="E31" s="547">
        <f>[2]!StP1425EndBal</f>
        <v>0</v>
      </c>
      <c r="F31" s="51">
        <v>0</v>
      </c>
      <c r="G31" s="547">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99"/>
      <c r="I31" s="49">
        <v>0</v>
      </c>
      <c r="J31" s="547"/>
      <c r="K31" s="549">
        <f>SUMIFS('Accounting data'!$G$2:$G$37000,'Accounting data'!$H$2:$H$37000,"1425*",'Accounting data'!$K$2:$K$37000,"6*")-SUMIFS('Accounting data'!$G$2:$G$37000,'Accounting data'!$H$2:$H$37000,"1425*",'Accounting data'!$K$2:$K$37000,"69*")-SUMIFS('Accounting data'!$G$2:$G$37000,'Accounting data'!$H$2:$H$37000,"1425*",'Accounting data'!$K$2:$K$37000,"67*")</f>
        <v>0</v>
      </c>
      <c r="L31" s="49">
        <v>0</v>
      </c>
      <c r="M31" s="49">
        <v>0</v>
      </c>
      <c r="N31" s="549">
        <f t="shared" si="2"/>
        <v>0</v>
      </c>
      <c r="O31" s="63" t="s">
        <v>67</v>
      </c>
    </row>
    <row r="32" spans="1:26" x14ac:dyDescent="0.2">
      <c r="A32" t="s">
        <v>342</v>
      </c>
      <c r="D32" s="63" t="s">
        <v>69</v>
      </c>
      <c r="E32" s="547">
        <f>[2]!StP1430EndBal</f>
        <v>0</v>
      </c>
      <c r="F32" s="51">
        <v>0</v>
      </c>
      <c r="G32" s="547">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99"/>
      <c r="I32" s="49">
        <v>0</v>
      </c>
      <c r="J32" s="547"/>
      <c r="K32" s="549">
        <f>SUMIFS('Accounting data'!$G$2:$G$37000,'Accounting data'!$H$2:$H$37000,"1430*",'Accounting data'!$K$2:$K$37000,"6*")-SUMIFS('Accounting data'!$G$2:$G$37000,'Accounting data'!$H$2:$H$37000,"1430*",'Accounting data'!$K$2:$K$37000,"69*")-SUMIFS('Accounting data'!$G$2:$G$37000,'Accounting data'!$H$2:$H$37000,"1430*",'Accounting data'!$K$2:$K$37000,"67*")</f>
        <v>0</v>
      </c>
      <c r="L32" s="49">
        <v>0</v>
      </c>
      <c r="M32" s="49">
        <v>0</v>
      </c>
      <c r="N32" s="549">
        <f t="shared" si="2"/>
        <v>0</v>
      </c>
      <c r="O32" s="63" t="s">
        <v>69</v>
      </c>
    </row>
    <row r="33" spans="1:15" ht="12.75" customHeight="1" x14ac:dyDescent="0.2">
      <c r="A33" t="s">
        <v>343</v>
      </c>
      <c r="D33" s="63" t="s">
        <v>71</v>
      </c>
      <c r="E33" s="547">
        <f>[2]!StP1435EndBal</f>
        <v>0</v>
      </c>
      <c r="F33" s="51">
        <v>0</v>
      </c>
      <c r="G33" s="547">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99"/>
      <c r="I33" s="49">
        <v>0</v>
      </c>
      <c r="J33" s="547"/>
      <c r="K33" s="549">
        <f>SUMIFS('Accounting data'!$G$2:$G$37000,'Accounting data'!$H$2:$H$37000,"1435*",'Accounting data'!$K$2:$K$37000,"6*")-SUMIFS('Accounting data'!$G$2:$G$37000,'Accounting data'!$H$2:$H$37000,"1435*",'Accounting data'!$K$2:$K$37000,"69*")-SUMIFS('Accounting data'!$G$2:$G$37000,'Accounting data'!$H$2:$H$37000,"1435*",'Accounting data'!$K$2:$K$37000,"67*")</f>
        <v>0</v>
      </c>
      <c r="L33" s="49">
        <v>0</v>
      </c>
      <c r="M33" s="49">
        <v>0</v>
      </c>
      <c r="N33" s="549">
        <f t="shared" si="2"/>
        <v>0</v>
      </c>
      <c r="O33" s="63" t="s">
        <v>71</v>
      </c>
    </row>
    <row r="34" spans="1:15" ht="12.75" customHeight="1" x14ac:dyDescent="0.2">
      <c r="A34" t="s">
        <v>344</v>
      </c>
      <c r="D34" s="63" t="s">
        <v>73</v>
      </c>
      <c r="E34" s="547">
        <f>[2]!StP1450EndBal</f>
        <v>0</v>
      </c>
      <c r="F34" s="51">
        <v>0</v>
      </c>
      <c r="G34" s="547">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99"/>
      <c r="I34" s="49">
        <v>0</v>
      </c>
      <c r="J34" s="547"/>
      <c r="K34" s="549">
        <f>SUMIFS('Accounting data'!$G$2:$G$37000,'Accounting data'!$H$2:$H$37000,"1450*",'Accounting data'!$K$2:$K$37000,"6*")-SUMIFS('Accounting data'!$G$2:$G$37000,'Accounting data'!$H$2:$H$37000,"1450*",'Accounting data'!$K$2:$K$37000,"69*")-SUMIFS('Accounting data'!$G$2:$G$37000,'Accounting data'!$H$2:$H$37000,"1450*",'Accounting data'!$K$2:$K$37000,"67*")</f>
        <v>0</v>
      </c>
      <c r="L34" s="49">
        <v>0</v>
      </c>
      <c r="M34" s="49">
        <v>0</v>
      </c>
      <c r="N34" s="549">
        <f t="shared" si="2"/>
        <v>0</v>
      </c>
      <c r="O34" s="63" t="s">
        <v>73</v>
      </c>
    </row>
    <row r="35" spans="1:15" ht="12.75" customHeight="1" x14ac:dyDescent="0.2">
      <c r="A35" t="s">
        <v>345</v>
      </c>
      <c r="D35" s="63" t="s">
        <v>75</v>
      </c>
      <c r="E35" s="547" cm="1">
        <f t="array" ref="E35">[2]!StP1456EndBal</f>
        <v>0</v>
      </c>
      <c r="F35" s="51">
        <v>0</v>
      </c>
      <c r="G35" s="547">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99"/>
      <c r="I35" s="49">
        <v>0</v>
      </c>
      <c r="J35" s="547"/>
      <c r="K35" s="549">
        <f>SUMIFS('Accounting data'!$G$2:$G$37000,'Accounting data'!$H$2:$H$37000,"1456*",'Accounting data'!$K$2:$K$37000,"6*")-SUMIFS('Accounting data'!$G$2:$G$37000,'Accounting data'!$H$2:$H$37000,"1456*",'Accounting data'!$K$2:$K$37000,"69*")-SUMIFS('Accounting data'!$G$2:$G$37000,'Accounting data'!$H$2:$H$37000,"1456*",'Accounting data'!$K$2:$K$37000,"67*")</f>
        <v>0</v>
      </c>
      <c r="L35" s="49">
        <v>0</v>
      </c>
      <c r="M35" s="49">
        <v>0</v>
      </c>
      <c r="N35" s="549">
        <f t="shared" si="2"/>
        <v>0</v>
      </c>
      <c r="O35" s="63" t="s">
        <v>75</v>
      </c>
    </row>
    <row r="36" spans="1:15" x14ac:dyDescent="0.2">
      <c r="A36" t="s">
        <v>346</v>
      </c>
      <c r="D36" s="63" t="s">
        <v>77</v>
      </c>
      <c r="E36" s="547">
        <f>[2]!StP1460EndBal</f>
        <v>0</v>
      </c>
      <c r="F36" s="51">
        <v>0</v>
      </c>
      <c r="G36" s="547">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82"/>
      <c r="I36" s="49">
        <v>0</v>
      </c>
      <c r="J36" s="547"/>
      <c r="K36" s="549">
        <f>SUMIFS('Accounting data'!$G$2:$G$37000,'Accounting data'!$H$2:$H$37000,"1460*",'Accounting data'!$K$2:$K$37000,"6*")-SUMIFS('Accounting data'!$G$2:$G$37000,'Accounting data'!$H$2:$H$37000,"1460*",'Accounting data'!$K$2:$K$37000,"69*")-SUMIFS('Accounting data'!$G$2:$G$37000,'Accounting data'!$H$2:$H$37000,"1460*",'Accounting data'!$K$2:$K$37000,"67*")</f>
        <v>0</v>
      </c>
      <c r="L36" s="49">
        <v>0</v>
      </c>
      <c r="M36" s="49">
        <v>0</v>
      </c>
      <c r="N36" s="549">
        <f t="shared" si="2"/>
        <v>0</v>
      </c>
      <c r="O36" s="63" t="s">
        <v>79</v>
      </c>
    </row>
    <row r="37" spans="1:15" ht="12.75" customHeight="1" x14ac:dyDescent="0.2">
      <c r="A37" t="s">
        <v>347</v>
      </c>
      <c r="D37" s="63" t="s">
        <v>79</v>
      </c>
      <c r="E37" s="547">
        <f>[2]!StP1465EndBal</f>
        <v>0</v>
      </c>
      <c r="F37" s="51">
        <v>0</v>
      </c>
      <c r="G37" s="547">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50"/>
      <c r="I37" s="49">
        <v>0</v>
      </c>
      <c r="J37" s="547"/>
      <c r="K37" s="549">
        <f>SUMIFS('Accounting data'!$G$2:$G$37000,'Accounting data'!$H$2:$H$37000,"1465*",'Accounting data'!$K$2:$K$37000,"6*")-SUMIFS('Accounting data'!$G$2:$G$37000,'Accounting data'!$H$2:$H$37000,"1465*",'Accounting data'!$K$2:$K$37000,"69*")-SUMIFS('Accounting data'!$G$2:$G$37000,'Accounting data'!$H$2:$H$37000,"1465*",'Accounting data'!$K$2:$K$37000,"67*")</f>
        <v>0</v>
      </c>
      <c r="L37" s="49">
        <v>0</v>
      </c>
      <c r="M37" s="49">
        <v>0</v>
      </c>
      <c r="N37" s="549">
        <f t="shared" si="2"/>
        <v>0</v>
      </c>
      <c r="O37" s="63" t="s">
        <v>81</v>
      </c>
    </row>
    <row r="38" spans="1:15" ht="12.75" customHeight="1" x14ac:dyDescent="0.2">
      <c r="A38" s="251" t="s">
        <v>348</v>
      </c>
      <c r="B38" s="251"/>
      <c r="C38" s="251"/>
      <c r="D38" s="67" t="s">
        <v>81</v>
      </c>
      <c r="E38" s="547">
        <f t="array" ref="E38">[2]!StP14XXEndBal</f>
        <v>0</v>
      </c>
      <c r="F38" s="51">
        <v>0</v>
      </c>
      <c r="G38" s="547">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79329</v>
      </c>
      <c r="H38" s="250"/>
      <c r="I38" s="49">
        <v>0</v>
      </c>
      <c r="J38" s="547">
        <v>72900</v>
      </c>
      <c r="K38" s="549">
        <f>SUMIFS('Accounting data'!$G$2:$G$37000,'Accounting data'!$H$2:$H$37000,"14XX*",'Accounting data'!$K$2:$K$37000,"6*")-SUMIFS('Accounting data'!$G$2:$G$37000,'Accounting data'!$H$2:$H$37000,"14XX*",'Accounting data'!$K$2:$K$37000,"69*")-SUMIFS('Accounting data'!$G$2:$G$37000,'Accounting data'!$H$2:$H$37000,"14XX*",'Accounting data'!$K$2:$K$37000,"67*")</f>
        <v>79329</v>
      </c>
      <c r="L38" s="49">
        <v>0</v>
      </c>
      <c r="M38" s="49">
        <v>0</v>
      </c>
      <c r="N38" s="549">
        <f t="shared" si="2"/>
        <v>0</v>
      </c>
      <c r="O38" s="67" t="s">
        <v>83</v>
      </c>
    </row>
    <row r="39" spans="1:15" ht="12.75" customHeight="1" thickBot="1" x14ac:dyDescent="0.25">
      <c r="A39" t="s">
        <v>349</v>
      </c>
      <c r="D39" s="63" t="s">
        <v>83</v>
      </c>
      <c r="E39" s="216">
        <f>[2]!StP14701499EndBal</f>
        <v>0</v>
      </c>
      <c r="F39" s="51">
        <v>0</v>
      </c>
      <c r="G39" s="216">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0</v>
      </c>
      <c r="H39" s="252"/>
      <c r="I39" s="49">
        <v>0</v>
      </c>
      <c r="J39" s="216">
        <v>6241</v>
      </c>
      <c r="K39" s="222">
        <f>SUMIFS('Accounting data'!$G$2:$G$37000,'Accounting data'!$H$2:$H$37000,"1470*",'Accounting data'!$K$2:$K$37000,"6*")-SUMIFS('Accounting data'!$G$2:$G$37000,'Accounting data'!$H$2:$H$37000,"1470*",'Accounting data'!$K$2:$K$37000,"69*")-SUMIFS('Accounting data'!$G$2:$G$37000,'Accounting data'!$H$2:$H$37000,"1470*",'Accounting data'!$K$2:$K$37000,"67*")</f>
        <v>0</v>
      </c>
      <c r="L39" s="49">
        <v>0</v>
      </c>
      <c r="M39" s="49">
        <v>0</v>
      </c>
      <c r="N39" s="549">
        <f t="shared" si="2"/>
        <v>0</v>
      </c>
      <c r="O39" s="63" t="s">
        <v>84</v>
      </c>
    </row>
    <row r="40" spans="1:15" ht="13.5" thickBot="1" x14ac:dyDescent="0.25">
      <c r="A40" t="s">
        <v>1125</v>
      </c>
      <c r="D40" s="63" t="s">
        <v>84</v>
      </c>
      <c r="E40" s="217">
        <f>SUM(E28:E39)</f>
        <v>0</v>
      </c>
      <c r="F40" s="217" cm="1">
        <f t="array" ref="F40">SUM(IF(F28:F39="",E28:E39,F28:F39))</f>
        <v>0</v>
      </c>
      <c r="G40" s="217">
        <f>SUM(G28:G39)</f>
        <v>79329</v>
      </c>
      <c r="H40" s="253"/>
      <c r="I40" s="217">
        <f>SUM(I28:I39)</f>
        <v>0</v>
      </c>
      <c r="J40" s="217">
        <f>SUM(J28:J39)</f>
        <v>79141</v>
      </c>
      <c r="K40" s="217">
        <f>SUM(K28:K39)</f>
        <v>79329</v>
      </c>
      <c r="L40" s="217">
        <f>SUM(L28:L39)</f>
        <v>0</v>
      </c>
      <c r="M40" s="217">
        <f>SUM(M28:M39)</f>
        <v>0</v>
      </c>
      <c r="N40" s="549">
        <f>SUM(IF(F40="",E40,F40)+G40-H40-I40-K40-L40-M40)</f>
        <v>0</v>
      </c>
      <c r="O40" s="63" t="s">
        <v>137</v>
      </c>
    </row>
    <row r="41" spans="1:15" ht="13.5" thickTop="1" x14ac:dyDescent="0.2">
      <c r="D41" s="254"/>
      <c r="E41" s="26"/>
      <c r="F41" s="26"/>
      <c r="G41" s="26"/>
      <c r="H41" s="26"/>
      <c r="I41" s="26"/>
      <c r="J41" s="26"/>
      <c r="K41" s="26"/>
      <c r="L41" s="26"/>
      <c r="M41" s="26"/>
      <c r="N41" s="26"/>
      <c r="O41" s="255"/>
    </row>
    <row r="42" spans="1:15" ht="13.5" thickBot="1" x14ac:dyDescent="0.25">
      <c r="A42" s="209" t="s">
        <v>1124</v>
      </c>
      <c r="B42" s="209"/>
      <c r="C42" s="209"/>
      <c r="D42" s="63" t="s">
        <v>137</v>
      </c>
      <c r="E42" s="256">
        <f>SUM(E23+E40)</f>
        <v>0</v>
      </c>
      <c r="F42" s="256">
        <f>SUM(F23+F40)</f>
        <v>0</v>
      </c>
      <c r="G42" s="256">
        <f>SUM(G23+G40)</f>
        <v>135637</v>
      </c>
      <c r="H42" s="555">
        <f>H23</f>
        <v>3729</v>
      </c>
      <c r="I42" s="256">
        <f>SUM(I23+I40)</f>
        <v>0</v>
      </c>
      <c r="J42" s="256">
        <f>SUM(J23+J40)</f>
        <v>132245</v>
      </c>
      <c r="K42" s="256">
        <f>SUM(K23+K40)</f>
        <v>131908</v>
      </c>
      <c r="L42" s="256">
        <f>SUM(L23+L40)</f>
        <v>0</v>
      </c>
      <c r="M42" s="256">
        <f>SUM(M23+M40)</f>
        <v>0</v>
      </c>
      <c r="N42" s="549">
        <f>SUM(IF(F42="",E42,F42)+G42-H42-I42-K42-L42-M42)</f>
        <v>0</v>
      </c>
      <c r="O42" s="63" t="s">
        <v>138</v>
      </c>
    </row>
  </sheetData>
  <sheetProtection formatCells="0" formatColumns="0" formatRows="0"/>
  <mergeCells count="5">
    <mergeCell ref="A3:D3"/>
    <mergeCell ref="B1:D1"/>
    <mergeCell ref="H1:I1"/>
    <mergeCell ref="J4:K4"/>
    <mergeCell ref="B4:C4"/>
  </mergeCells>
  <conditionalFormatting sqref="F6:F22 F25 F28:F39">
    <cfRule type="expression" dxfId="46" priority="1" stopIfTrue="1">
      <formula>$F6=""</formula>
    </cfRule>
  </conditionalFormatting>
  <conditionalFormatting sqref="I6:I22 I28:I39">
    <cfRule type="expression" dxfId="45" priority="7" stopIfTrue="1">
      <formula>$I6=""</formula>
    </cfRule>
  </conditionalFormatting>
  <conditionalFormatting sqref="I25 M25">
    <cfRule type="expression" dxfId="44" priority="5" stopIfTrue="1">
      <formula>I$25=""</formula>
    </cfRule>
  </conditionalFormatting>
  <conditionalFormatting sqref="L22 L28:L39">
    <cfRule type="containsBlanks" dxfId="43" priority="4">
      <formula>LEN(TRIM(L22))=0</formula>
    </cfRule>
  </conditionalFormatting>
  <conditionalFormatting sqref="L25">
    <cfRule type="containsBlanks" dxfId="42" priority="3">
      <formula>LEN(TRIM(L25))=0</formula>
    </cfRule>
  </conditionalFormatting>
  <conditionalFormatting sqref="M6:M22 M28:M39">
    <cfRule type="expression" dxfId="41" priority="6" stopIfTrue="1">
      <formula>$M6=""</formula>
    </cfRule>
  </conditionalFormatting>
  <hyperlinks>
    <hyperlink ref="A3:D3" location="FederalAndStateProjectsPage9" display="FEDERAL AND STATE PROJECTS" xr:uid="{00000000-0004-0000-0900-000000000000}"/>
    <hyperlink ref="A42:C42" location="FederalAndStateProjectsPage9Line30" display="     Total Federal and State Projects (lines 17 and 29)" xr:uid="{00000000-0004-0000-0900-000001000000}"/>
    <hyperlink ref="A21:C22" location="ImpactAidandOtherFederalProjects" display="13__ Impact Aid" xr:uid="{00000000-0004-0000-0900-000002000000}"/>
    <hyperlink ref="A25:C25" location="ImpactAidandOtherFederalProjects" display="Total COVID-19 federal relief projects included in line 17" xr:uid="{00000000-0004-0000-0900-000003000000}"/>
    <hyperlink ref="F3" location="FederalAndStateProjectsAdjustedBeginningProjectBalance" display="Adjusted" xr:uid="{00000000-0004-0000-0900-000004000000}"/>
    <hyperlink ref="F4" location="FederalAndStateProjectsAdjustedBeginningProjectBalance" display="Beginning" xr:uid="{00000000-0004-0000-0900-000005000000}"/>
    <hyperlink ref="F5" location="FederalAndStateProjectsAdjustedBeginningProjectBalance" display="Project Balance" xr:uid="{00000000-0004-0000-0900-000006000000}"/>
    <hyperlink ref="B4" location="FederalAndStateProjectsPage9" display="Instructions" xr:uid="{F088FE02-AC28-4617-B207-65B044D1BE71}"/>
  </hyperlinks>
  <pageMargins left="0.7" right="0.7" top="0.75" bottom="0.75" header="0.3" footer="0.3"/>
  <pageSetup scale="67" orientation="landscape" r:id="rId1"/>
  <headerFooter>
    <oddFooter>&amp;LRev. 8/25 Arizona Department of Education and Auditor General&amp;CFY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72CDD0-BFD7-4CF9-8D50-A11CFBB8E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B4F38B-0799-4886-B61C-8DBB46B47F73}">
  <ds:schemaRefs>
    <ds:schemaRef ds:uri="http://purl.org/dc/dcmitype/"/>
    <ds:schemaRef ds:uri="http://schemas.openxmlformats.org/package/2006/metadata/core-properties"/>
    <ds:schemaRef ds:uri="http://purl.org/dc/terms/"/>
    <ds:schemaRef ds:uri="8385876d-3ffd-449d-b709-a8df02b96ae7"/>
    <ds:schemaRef ds:uri="http://schemas.microsoft.com/office/2006/metadata/properties"/>
    <ds:schemaRef ds:uri="http://schemas.microsoft.com/office/2006/documentManagement/types"/>
    <ds:schemaRef ds:uri="http://purl.org/dc/elements/1.1/"/>
    <ds:schemaRef ds:uri="http://schemas.microsoft.com/office/infopath/2007/PartnerControls"/>
    <ds:schemaRef ds:uri="ffcdc2e4-c8f2-4bf7-ab1d-ea300bde3fd8"/>
    <ds:schemaRef ds:uri="http://www.w3.org/XML/1998/namespace"/>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19</vt:i4>
      </vt:variant>
      <vt:variant>
        <vt:lpstr>Named Ranges</vt:lpstr>
      </vt:variant>
      <vt:variant>
        <vt:i4>205</vt:i4>
      </vt:variant>
    </vt:vector>
  </HeadingPairs>
  <TitlesOfParts>
    <vt:vector size="224" baseType="lpstr">
      <vt:lpstr>Cover Page</vt:lpstr>
      <vt:lpstr>Page 1</vt:lpstr>
      <vt:lpstr>Page 2</vt:lpstr>
      <vt:lpstr>Page 3</vt:lpstr>
      <vt:lpstr>Page 4</vt:lpstr>
      <vt:lpstr>Page 5</vt:lpstr>
      <vt:lpstr>Page 6</vt:lpstr>
      <vt:lpstr>Page 7</vt:lpstr>
      <vt:lpstr>Page 8</vt:lpstr>
      <vt:lpstr>Page 9</vt:lpstr>
      <vt:lpstr>Page 10</vt:lpstr>
      <vt:lpstr>Food Service</vt:lpstr>
      <vt:lpstr>Summary</vt:lpstr>
      <vt:lpstr>Reserve balance</vt:lpstr>
      <vt:lpstr>School listing</vt:lpstr>
      <vt:lpstr>Alerts</vt:lpstr>
      <vt:lpstr>Accounting data</vt:lpstr>
      <vt:lpstr>Calculations</vt:lpstr>
      <vt:lpstr>Instructions</vt:lpstr>
      <vt:lpstr>Account</vt:lpstr>
      <vt:lpstr>Accounting_Data_Tab</vt:lpstr>
      <vt:lpstr>ActualTotalFederalAndStateProjects</vt:lpstr>
      <vt:lpstr>ActualTotalInstImpExp</vt:lpstr>
      <vt:lpstr>AddlInstrImprProjEndBal</vt:lpstr>
      <vt:lpstr>AdjustedBeginningProjectBalance</vt:lpstr>
      <vt:lpstr>ALaCarte</vt:lpstr>
      <vt:lpstr>AllDisabilityClassifications</vt:lpstr>
      <vt:lpstr>ArizonaIndustryCredentialsIncentive</vt:lpstr>
      <vt:lpstr>AuditServices</vt:lpstr>
      <vt:lpstr>AverageTeacherSalary</vt:lpstr>
      <vt:lpstr>BegProjectBalances</vt:lpstr>
      <vt:lpstr>Breakfasts</vt:lpstr>
      <vt:lpstr>CapitalAcquisitions</vt:lpstr>
      <vt:lpstr>CapitalAcquisitionsLine5</vt:lpstr>
      <vt:lpstr>CashandInvestments</vt:lpstr>
      <vt:lpstr>CashBal</vt:lpstr>
      <vt:lpstr>CIP1072EndBal</vt:lpstr>
      <vt:lpstr>ClssrmSitepg3</vt:lpstr>
      <vt:lpstr>CSPEndBal</vt:lpstr>
      <vt:lpstr>CSPlines122615</vt:lpstr>
      <vt:lpstr>CSPlines4914</vt:lpstr>
      <vt:lpstr>CSPPropertyPayments</vt:lpstr>
      <vt:lpstr>CurrentExpensesByCategory</vt:lpstr>
      <vt:lpstr>CurrentExpensesbyCategoryLines7and8</vt:lpstr>
      <vt:lpstr>DebtService</vt:lpstr>
      <vt:lpstr>District_Name</vt:lpstr>
      <vt:lpstr>EXPENSES</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FoodServiceGen</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LunchesSuppers</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Page3AdjBeginProjBal</vt:lpstr>
      <vt:lpstr>Page4AdjBeginProjBal</vt:lpstr>
      <vt:lpstr>Page5AdjBeginProjBal</vt:lpstr>
      <vt:lpstr>'Accounting data'!Print_Area</vt:lpstr>
      <vt:lpstr>Alerts!Print_Area</vt:lpstr>
      <vt:lpstr>'Cover Page'!Print_Area</vt:lpstr>
      <vt:lpstr>'Food Service'!Print_Area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'Reserve balance'!Print_Area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REVENUES</vt:lpstr>
      <vt:lpstr>School_Listing_Tab</vt:lpstr>
      <vt:lpstr>SchoolwideEndBal</vt:lpstr>
      <vt:lpstr>Section_C_Transportation</vt:lpstr>
      <vt:lpstr>SectionA</vt:lpstr>
      <vt:lpstr>SectionB</vt:lpstr>
      <vt:lpstr>SectionC</vt:lpstr>
      <vt:lpstr>SectionD</vt:lpstr>
      <vt:lpstr>SectionE</vt:lpstr>
      <vt:lpstr>SectionF</vt:lpstr>
      <vt:lpstr>SectionG</vt:lpstr>
      <vt:lpstr>SEIP1071EndBal</vt:lpstr>
      <vt:lpstr>Snacks</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2025-08-06T17:38:46Z</cp:lastPrinted>
  <dcterms:created xsi:type="dcterms:W3CDTF">1997-10-09T09:56:13Z</dcterms:created>
  <dcterms:modified xsi:type="dcterms:W3CDTF">2026-06-24T19:11:22Z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2025</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0x01010011E11B9217455B40B8FBB9893A94134E</vt:lpwstr>
  </property>
  <property fmtid="{D5CDD505-2E9C-101B-9397-08002B2CF9AE}" pid="7" name="MediaServiceImageTags">
    <vt:lpwstr/>
  </property>
  <property fmtid="{D5CDD505-2E9C-101B-9397-08002B2CF9AE}" pid="8" name="ADEGUID">
    <vt:lpwstr>2FA88DA1-0A61-4956-8BBE-A52B9F9C88BB</vt:lpwstr>
  </property>
</Properties>
</file>